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6555" windowHeight="7680" activeTab="0"/>
  </bookViews>
  <sheets>
    <sheet name="Septembre2010" sheetId="1" r:id="rId1"/>
    <sheet name="StructureAge" sheetId="2" r:id="rId2"/>
    <sheet name="StructureRevenus" sheetId="3" r:id="rId3"/>
    <sheet name="StructureRevenusAge" sheetId="4" r:id="rId4"/>
    <sheet name="StructureRevActFractiles" sheetId="5" r:id="rId5"/>
    <sheet name="StructureRevKFractiles" sheetId="6" r:id="rId6"/>
    <sheet name="StructureRevTotFractiles" sheetId="7" r:id="rId7"/>
    <sheet name="StructureSalairesFractiles" sheetId="8" r:id="rId8"/>
    <sheet name="StructureSalairesFractiles (2)" sheetId="9" r:id="rId9"/>
    <sheet name="StructureCotSoc" sheetId="10" r:id="rId10"/>
    <sheet name="Feuil3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<sst xmlns="http://schemas.openxmlformats.org/spreadsheetml/2006/main" count="411" uniqueCount="151">
  <si>
    <t>agq</t>
  </si>
  <si>
    <t>total</t>
  </si>
  <si>
    <t>hom</t>
  </si>
  <si>
    <t>fem</t>
  </si>
  <si>
    <t>pac</t>
  </si>
  <si>
    <t>rawtotal</t>
  </si>
  <si>
    <t>poids</t>
  </si>
  <si>
    <t>ag</t>
  </si>
  <si>
    <t>Note: l'âge est toujours mesuré au 1er janvier de l'année de revenu (age = 2006 - année de naissance - 1), comme dans la législation fiscale</t>
  </si>
  <si>
    <t>decl</t>
  </si>
  <si>
    <t>conj</t>
  </si>
  <si>
    <t>total 0+</t>
  </si>
  <si>
    <t>total 18+</t>
  </si>
  <si>
    <t>Dénomb. 2042</t>
  </si>
  <si>
    <t>salaires</t>
  </si>
  <si>
    <t>chom</t>
  </si>
  <si>
    <t>pension</t>
  </si>
  <si>
    <t>nonsal</t>
  </si>
  <si>
    <t>ba</t>
  </si>
  <si>
    <t>bic</t>
  </si>
  <si>
    <t>bnc</t>
  </si>
  <si>
    <t>nonsalexo</t>
  </si>
  <si>
    <t>rf</t>
  </si>
  <si>
    <t>rcmbar</t>
  </si>
  <si>
    <t>rcmpl</t>
  </si>
  <si>
    <t>pv</t>
  </si>
  <si>
    <t>moyenne</t>
  </si>
  <si>
    <t>%</t>
  </si>
  <si>
    <t>total (milliards)</t>
  </si>
  <si>
    <t>denomb. 2042</t>
  </si>
  <si>
    <t>ratio</t>
  </si>
  <si>
    <t>Ratio</t>
  </si>
  <si>
    <t>enf</t>
  </si>
  <si>
    <t>decl+conj</t>
  </si>
  <si>
    <t>pac+enf</t>
  </si>
  <si>
    <t>Note: les personnes à charge (pac) sont les personnes déclarées dans les cases J, N et R des déclarations 2042; il s'agit dans un petit nombre</t>
  </si>
  <si>
    <t>de cas de personnes mineures (enfants mariés ou chargés de famille rattachés au foyer)</t>
  </si>
  <si>
    <t xml:space="preserve">Note: les enfants sont les personnes déclarées dans les cases F et H des déclarations 2042; il s'agit dans un petit nombre de cas d'enfants majeurs handicapées. </t>
  </si>
  <si>
    <t>decl+conj+pac</t>
  </si>
  <si>
    <t>dont 0-17</t>
  </si>
  <si>
    <t>dont 18+</t>
  </si>
  <si>
    <t>%18+</t>
  </si>
  <si>
    <t>Total</t>
  </si>
  <si>
    <t>Femmes</t>
  </si>
  <si>
    <t>Hommes</t>
  </si>
  <si>
    <t>F/H</t>
  </si>
  <si>
    <t>%0-17</t>
  </si>
  <si>
    <t>Population 1/1/2006</t>
  </si>
  <si>
    <t>Ratio tax population/population</t>
  </si>
  <si>
    <t>Champ: tous les déclarants, conjoints et majeurs à charges (les seuls individus à avoir des revenus, par construction)</t>
  </si>
  <si>
    <r>
      <t xml:space="preserve">Champ: tous les déclarants, conjoints et majeurs à charges de 18 ans et + </t>
    </r>
    <r>
      <rPr>
        <sz val="10"/>
        <rFont val="Arial"/>
        <family val="2"/>
      </rPr>
      <t>(99.97% du revenu total, cf. feuille précédente)</t>
    </r>
  </si>
  <si>
    <t>Fractiles de revenus d'activité</t>
  </si>
  <si>
    <t>seuil</t>
  </si>
  <si>
    <t>revrplact</t>
  </si>
  <si>
    <t>(en milliards)</t>
  </si>
  <si>
    <t>0-50</t>
  </si>
  <si>
    <t>50-90</t>
  </si>
  <si>
    <t>90-100</t>
  </si>
  <si>
    <t>dt 99-100</t>
  </si>
  <si>
    <t>Fractiles de revenus du capital:</t>
  </si>
  <si>
    <t>Fractiles de revenu total</t>
  </si>
  <si>
    <t>rev</t>
  </si>
  <si>
    <t>revl</t>
  </si>
  <si>
    <t>revk</t>
  </si>
  <si>
    <t>rev0</t>
  </si>
  <si>
    <t>revl0</t>
  </si>
  <si>
    <t>revk0</t>
  </si>
  <si>
    <t>(parmi les rev&gt;0, revl&gt;0, rk&gt;0)</t>
  </si>
  <si>
    <t>prevl</t>
  </si>
  <si>
    <t>%rk</t>
  </si>
  <si>
    <t>(en parts du revenu total)</t>
  </si>
  <si>
    <t>(Note: les top 1% labor earners sont des hommes, et 50% de leur revk apparaissent dans le labor income fractile de leur femme)</t>
  </si>
  <si>
    <t>prevk</t>
  </si>
  <si>
    <t>% revk</t>
  </si>
  <si>
    <t>prev</t>
  </si>
  <si>
    <t>Champ: tous les déclarants, conjoints et majeurs à charges de 18 ans et + avec salaires&gt;0</t>
  </si>
  <si>
    <t>Fractiles de salaires</t>
  </si>
  <si>
    <t>psal</t>
  </si>
  <si>
    <t>nonsalpos</t>
  </si>
  <si>
    <t>nonsal01</t>
  </si>
  <si>
    <t>public</t>
  </si>
  <si>
    <t>nonsal01miss</t>
  </si>
  <si>
    <t>publicmiss</t>
  </si>
  <si>
    <t>(données manquantes)</t>
  </si>
  <si>
    <t>tempsplein</t>
  </si>
  <si>
    <t>mois</t>
  </si>
  <si>
    <t>nbh</t>
  </si>
  <si>
    <t>salh</t>
  </si>
  <si>
    <t>tempspartiel</t>
  </si>
  <si>
    <t>(après imputation de variables complètes temps de travail et public/privé)</t>
  </si>
  <si>
    <t>Calcul des cotisations sociales</t>
  </si>
  <si>
    <t>CN</t>
  </si>
  <si>
    <t>CSG</t>
  </si>
  <si>
    <t>assiette_nonsal_csg_cn</t>
  </si>
  <si>
    <t>assiette_nonsal_irpp_csg</t>
  </si>
  <si>
    <t>assiette_nonsal_cs_irpp</t>
  </si>
  <si>
    <t>assiette_nonsal_cs_cn</t>
  </si>
  <si>
    <t>n_nonsal</t>
  </si>
  <si>
    <t>nonsal_irpp</t>
  </si>
  <si>
    <t>nonsal_brut</t>
  </si>
  <si>
    <t>calculée à partir du fichier IR (=exo spécifiques cotsoc ou petites différences d'assiette ou erreurs de calcul = 3% de l'assiette IR)</t>
  </si>
  <si>
    <t xml:space="preserve">représente 98% de l'assiette CSG (=exo spécifiques IRPP ou petites différences d'assiette ou erreurs de calcul = 2% de l'assiette CSG) </t>
  </si>
  <si>
    <t>&gt;&gt;&gt; vu que par ailleurs l'assiette CSG représente 91% de l'assiette CN, il suffit de faire le produit des trois termes d'assiette pour trouver</t>
  </si>
  <si>
    <t>que cotisations s'appliquent à 87% de l'assiette CN; par construction, 87% x 24,73% = 21,48% = le taux apparent de cotsoc CN</t>
  </si>
  <si>
    <t>&gt;&gt;&gt; tout ceci est approximatif, mais globalement très satisfaisant</t>
  </si>
  <si>
    <t>n_sal</t>
  </si>
  <si>
    <t>sal_irpp</t>
  </si>
  <si>
    <t>sal_brut</t>
  </si>
  <si>
    <t>css_sim</t>
  </si>
  <si>
    <t>assiette_sal_irpp_csg</t>
  </si>
  <si>
    <t>assiette_sal_cs_irpp</t>
  </si>
  <si>
    <t>Champ: tous les déclarants, conjoints et majeurs à charges avec salaires&gt;0 ou nonsal&gt;</t>
  </si>
  <si>
    <t>1. Simulation des cotisations sociales salariales</t>
  </si>
  <si>
    <t xml:space="preserve">à de légères différences d'assiette (ex.: primes de fonctionnaires non soumises à retenue pour pensions); ou à des exo spécifiques pour certains salariés privés </t>
  </si>
  <si>
    <t>du fait que le taux statutaire entre pss et 4pss est de 12.20%, à peine plus faible (ce n'est qu'au-delà de 4pss et 8pss qu'il chute franchement); en</t>
  </si>
  <si>
    <t>2. Simulation des cotisations sociales patronales</t>
  </si>
  <si>
    <t>3. Simulation des cotisations sociales des non salariés</t>
  </si>
  <si>
    <t>csp_sim</t>
  </si>
  <si>
    <t>masse_csp_priv_cn</t>
  </si>
  <si>
    <t>masse_csp_pub_cn</t>
  </si>
  <si>
    <t>tx_csp_pub</t>
  </si>
  <si>
    <t>masse_exo_fillon_sim</t>
  </si>
  <si>
    <t>masse_exo_fillon_obs</t>
  </si>
  <si>
    <t>csp_exo_fillon_sim</t>
  </si>
  <si>
    <t>cs_nonsal_sim</t>
  </si>
  <si>
    <t>masse_nonsal_irpp</t>
  </si>
  <si>
    <t>masse_nonsal_brut</t>
  </si>
  <si>
    <t>masse_cs_nonsal_sim</t>
  </si>
  <si>
    <t>&gt;&gt;&gt; avec un taux de cotisation non-sal flat, j'obtiendrai par construction 34.05%; après prise en compte des taux pss-4pss etc., j'obtiens 24.78%</t>
  </si>
  <si>
    <t>un niveau intermédiaire entre le 23.15% retraite des artisans-commerçants-industriels et le 15.10% des professions libérales; vu que les BNC</t>
  </si>
  <si>
    <t>masse_csg</t>
  </si>
  <si>
    <t>des salaires bruts irpp = pas mal du tout, sachant qu'il existe pas mal d'exo spécifiques que je ne prend pas en compte (3.5 milliards en 2006, cf. PLFSS 2008, annexe 5, p.179)</t>
  </si>
  <si>
    <t>compte ici; en particulier, le taux simulé de css est de 13.41% dans le secteur privé, très proche du taux statutaire sous pss de 13.83%; cela vient</t>
  </si>
  <si>
    <t>pour les salaires fiscaux/non salaires sociaux ne commence qu'à 2 PSS et est sans doute trop faible), et tombe à 34.76%</t>
  </si>
  <si>
    <t xml:space="preserve">(Note: Le calage sur la population résidente (&lt;pop adulte 2042, notamment because of divorces etc.) à masse revenus donné m'a fait bouger de 78% </t>
  </si>
  <si>
    <t>&gt;&gt;&gt; on reproduit les masses salariales brutes public et privé à 98.2% des niveaux CSG: très bien</t>
  </si>
  <si>
    <t>&gt;&gt;&gt; on sur-prédit les cotisations sociales salariales: 76.2 milliards vs 74.1 milliards dans la ComptaNat; pour reproduire parfaitement, on</t>
  </si>
  <si>
    <t>doit supposer que seule 97.2% de mon assiette salaire brut IRPP est soumis à cotisations sociales salariales; cela peut être dû</t>
  </si>
  <si>
    <t>ou publics; ou au fait qu'une partie des hauts salaires fiscaux sont des non-salaires au sens des cotsoc, ce qu'on ne cherche pas du tout à prendre en</t>
  </si>
  <si>
    <t>abaissant fortement ce taux vers 2pss-3pss, on ferait passer facilement le ratio 97.2% à 98%-99%; on en reste là à ce stade, mais à noter tout de même</t>
  </si>
  <si>
    <t>&gt;&gt;&gt; on prédit 164.6 milliards de cotisations patronales secteur privé, vs 155.3 milliards obs CN, soit une assiette cotpat implicite égale à 94.3%</t>
  </si>
  <si>
    <t>&gt;&gt;&gt; si l'on regarde dans le détail, on voit que je suis à 93.2% hors exo Fillon, et à 85.0% sur l'exo Fillon, que l'on surprédit assez massivement (essentiellement car on surprédit les effectifs concernés: 12.5 vs 9.4 millions de salariés dans PLFSS 2008 annexe 5)</t>
  </si>
  <si>
    <t xml:space="preserve">&gt;&gt;&gt; le taux de cotisation simulée avant exo Fillon est 39.58% (=très proche du 40.22% statutaire sous PSS, et du 40.16% stautaire PSS-4PSS; notre ajustement </t>
  </si>
  <si>
    <t xml:space="preserve">à 85% notre ratio Fillon; logique qualitativement, mais vraiment très fort quantitativement &gt;&gt;&gt; tout cela est très sensible à la densité autour du smic) </t>
  </si>
  <si>
    <t>&gt;&gt;&gt; on simule 22.5 milliards de cotsoc, vs 21.8 milliards observé = excellent, il nous suffit de supposer que les cotsoc s'appliquent à 97% de l'assiette nonsal_brut</t>
  </si>
  <si>
    <t>&gt;&gt;&gt; on simule une assiette nonsal_brut de 90.6 milliards, vs 92.3 milliards assiette CSG observée = excellent, il nous suffit de supposer que l'assiette IRPP</t>
  </si>
  <si>
    <t>Note: On obtient ce très bon fit en retenant un taux statutaire sous PSS de 34.05% = 14.05% noncontrib + 20.00% retraite, soit</t>
  </si>
  <si>
    <t>représentent un peu plus de la moitié des revenus non salariaux, on pourrait prendre 19.00% (&gt;&gt;fit parfait). In any case, le point est que si on retient 23.15% (37.20%</t>
  </si>
  <si>
    <t>de taux global sous plafond), alors on overpredict cotosoc et assiette csg, et inversement si on retient 15.10% (29.15% de taux global sous plafond)</t>
  </si>
  <si>
    <t>(9/2010)</t>
  </si>
  <si>
    <t>Dans ce fichier: simulations préliminaires à partir du fichier 2006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</si>
</sst>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%"/>
    <numFmt numFmtId="173" formatCode="0.000000%"/>
    <numFmt numFmtId="174" formatCode="0.0000000%"/>
    <numFmt numFmtId="175" formatCode="0.00000000%"/>
    <numFmt numFmtId="176" formatCode="0.000000000%"/>
    <numFmt numFmtId="177" formatCode="0.0000000000%"/>
    <numFmt numFmtId="178" formatCode="0.00000000000%"/>
    <numFmt numFmtId="179" formatCode="#,##0\ &quot;€&quot;"/>
    <numFmt numFmtId="180" formatCode="#,##0.00\ &quot;€&quot;"/>
    <numFmt numFmtId="181" formatCode="#,##0.0"/>
    <numFmt numFmtId="182" formatCode="0.0E+00"/>
    <numFmt numFmtId="183" formatCode="0E+00"/>
    <numFmt numFmtId="184" formatCode="#,##0.0_ ;\-#,##0.0\ "/>
    <numFmt numFmtId="185" formatCode="0.000000000000000%"/>
    <numFmt numFmtId="186" formatCode="0.00000000000000%"/>
    <numFmt numFmtId="187" formatCode="0.0000000000000%"/>
    <numFmt numFmtId="188" formatCode="0.000000000000%"/>
    <numFmt numFmtId="189" formatCode="#,##0_ ;\-#,##0\ "/>
    <numFmt numFmtId="190" formatCode="#,##0.00_ ;\-#,##0.00\ "/>
    <numFmt numFmtId="191" formatCode="#,##0.000_ ;\-#,##0.000\ "/>
    <numFmt numFmtId="192" formatCode="#,##0.0000_ ;\-#,##0.0000\ "/>
    <numFmt numFmtId="193" formatCode="#,##0.00000_ ;\-#,##0.00000\ "/>
    <numFmt numFmtId="194" formatCode="_-* #,##0.0\ &quot;€&quot;_-;\-* #,##0.0\ &quot;€&quot;_-;_-* &quot;-&quot;??\ &quot;€&quot;_-;_-@_-"/>
    <numFmt numFmtId="195" formatCode="_-* #,##0\ &quot;€&quot;_-;\-* #,##0\ &quot;€&quot;_-;_-* &quot;-&quot;??\ &quot;€&quot;_-;_-@_-"/>
    <numFmt numFmtId="196" formatCode="0.000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9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/>
    </xf>
    <xf numFmtId="179" fontId="1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79" fontId="6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4" xfId="0" applyNumberFormat="1" applyFont="1" applyBorder="1" applyAlignment="1">
      <alignment horizontal="center" vertical="center"/>
    </xf>
    <xf numFmtId="9" fontId="0" fillId="0" borderId="4" xfId="0" applyNumberFormat="1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left"/>
    </xf>
    <xf numFmtId="171" fontId="0" fillId="0" borderId="0" xfId="0" applyNumberFormat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42" fontId="0" fillId="0" borderId="0" xfId="0" applyNumberFormat="1" applyAlignment="1">
      <alignment horizontal="center"/>
    </xf>
    <xf numFmtId="4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8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171" fontId="0" fillId="0" borderId="0" xfId="0" applyNumberFormat="1" applyAlignment="1">
      <alignment horizontal="left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RevolutionFiscale2010\AggregateTaxData\RecapitulationRevenusIR199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RevolutionFiscale2010\DemoData\Population199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RevolutionFiscale2010\Basic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20009"/>
      <sheetName val="Dénombrements2042(2005-2008)"/>
      <sheetName val="Comparaisons2007"/>
      <sheetName val="OldSéries1998-2006"/>
      <sheetName val="Feuil3"/>
    </sheetNames>
    <sheetDataSet>
      <sheetData sheetId="1">
        <row r="5">
          <cell r="B5">
            <v>35633.850999999995</v>
          </cell>
          <cell r="C5">
            <v>12827.225</v>
          </cell>
          <cell r="D5">
            <v>1933.6249999999998</v>
          </cell>
          <cell r="F5">
            <v>16199.231</v>
          </cell>
        </row>
        <row r="19">
          <cell r="C19">
            <v>527.902520042</v>
          </cell>
          <cell r="D19">
            <v>27.248360971</v>
          </cell>
          <cell r="E19">
            <v>205.84433220600002</v>
          </cell>
          <cell r="F19">
            <v>63.4757696185</v>
          </cell>
          <cell r="I19">
            <v>6.297376375499999</v>
          </cell>
          <cell r="J19">
            <v>27.130332376250003</v>
          </cell>
          <cell r="K19">
            <v>30.04806086675</v>
          </cell>
          <cell r="L19">
            <v>23.26773808</v>
          </cell>
          <cell r="M19">
            <v>7.366036815</v>
          </cell>
          <cell r="N19">
            <v>18.955813831</v>
          </cell>
          <cell r="O19">
            <v>4.889366212</v>
          </cell>
          <cell r="P19">
            <v>14.30603655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2010"/>
      <sheetName val="Table0"/>
      <sheetName val="Table1"/>
      <sheetName val="Pop1982-2010"/>
      <sheetName val="Pop1946-2010(métropole)"/>
      <sheetName val="PopAge1982-2010"/>
      <sheetName val="PopSexeAge2010"/>
      <sheetName val="PopSexeAge2009"/>
      <sheetName val="PopSexeAge2008"/>
      <sheetName val="PopSexeAge2007"/>
      <sheetName val="PopSexeAge2006"/>
      <sheetName val="PopSexeAge2005"/>
      <sheetName val="Mariages19942008"/>
      <sheetName val="Divorces19952007"/>
    </sheetNames>
    <sheetDataSet>
      <sheetData sheetId="1">
        <row r="8">
          <cell r="K8">
            <v>829.352</v>
          </cell>
        </row>
      </sheetData>
      <sheetData sheetId="10">
        <row r="10">
          <cell r="E10">
            <v>781499</v>
          </cell>
        </row>
        <row r="11">
          <cell r="E11">
            <v>776413</v>
          </cell>
        </row>
        <row r="12">
          <cell r="E12">
            <v>772350</v>
          </cell>
        </row>
        <row r="13">
          <cell r="E13">
            <v>781704</v>
          </cell>
        </row>
        <row r="14">
          <cell r="E14">
            <v>799000</v>
          </cell>
        </row>
        <row r="15">
          <cell r="E15">
            <v>813709</v>
          </cell>
        </row>
        <row r="16">
          <cell r="E16">
            <v>784721</v>
          </cell>
        </row>
        <row r="17">
          <cell r="E17">
            <v>780444</v>
          </cell>
        </row>
        <row r="18">
          <cell r="E18">
            <v>767990</v>
          </cell>
        </row>
        <row r="19">
          <cell r="E19">
            <v>778521</v>
          </cell>
        </row>
        <row r="20">
          <cell r="E20">
            <v>771252</v>
          </cell>
        </row>
        <row r="21">
          <cell r="E21">
            <v>755459</v>
          </cell>
        </row>
        <row r="22">
          <cell r="E22">
            <v>755908</v>
          </cell>
        </row>
        <row r="23">
          <cell r="E23">
            <v>791896</v>
          </cell>
        </row>
        <row r="24">
          <cell r="E24">
            <v>805084</v>
          </cell>
        </row>
        <row r="25">
          <cell r="E25">
            <v>820788</v>
          </cell>
        </row>
        <row r="26">
          <cell r="E26">
            <v>832210</v>
          </cell>
        </row>
        <row r="27">
          <cell r="E27">
            <v>840368</v>
          </cell>
        </row>
        <row r="28">
          <cell r="E28">
            <v>835406</v>
          </cell>
        </row>
        <row r="29">
          <cell r="E29">
            <v>843031</v>
          </cell>
        </row>
        <row r="30">
          <cell r="E30">
            <v>825335</v>
          </cell>
        </row>
        <row r="31">
          <cell r="E31">
            <v>800342</v>
          </cell>
        </row>
        <row r="32">
          <cell r="E32">
            <v>778799</v>
          </cell>
        </row>
        <row r="33">
          <cell r="E33">
            <v>819351</v>
          </cell>
        </row>
        <row r="34">
          <cell r="E34">
            <v>821101</v>
          </cell>
        </row>
        <row r="35">
          <cell r="E35">
            <v>825585</v>
          </cell>
        </row>
        <row r="36">
          <cell r="E36">
            <v>776367</v>
          </cell>
        </row>
        <row r="37">
          <cell r="E37">
            <v>760655</v>
          </cell>
        </row>
        <row r="38">
          <cell r="E38">
            <v>771817</v>
          </cell>
        </row>
        <row r="39">
          <cell r="E39">
            <v>755922</v>
          </cell>
        </row>
        <row r="40">
          <cell r="E40">
            <v>780510</v>
          </cell>
        </row>
        <row r="41">
          <cell r="E41">
            <v>830120</v>
          </cell>
        </row>
        <row r="42">
          <cell r="E42">
            <v>884777</v>
          </cell>
        </row>
        <row r="43">
          <cell r="E43">
            <v>910743</v>
          </cell>
        </row>
        <row r="44">
          <cell r="E44">
            <v>908649</v>
          </cell>
        </row>
        <row r="45">
          <cell r="E45">
            <v>894840</v>
          </cell>
        </row>
        <row r="46">
          <cell r="E46">
            <v>885969</v>
          </cell>
        </row>
        <row r="47">
          <cell r="E47">
            <v>884846</v>
          </cell>
        </row>
        <row r="48">
          <cell r="E48">
            <v>886446</v>
          </cell>
        </row>
        <row r="49">
          <cell r="E49">
            <v>912899</v>
          </cell>
        </row>
        <row r="50">
          <cell r="E50">
            <v>912619</v>
          </cell>
        </row>
        <row r="51">
          <cell r="E51">
            <v>926075</v>
          </cell>
        </row>
        <row r="52">
          <cell r="E52">
            <v>919196</v>
          </cell>
        </row>
        <row r="53">
          <cell r="E53">
            <v>889687</v>
          </cell>
        </row>
        <row r="54">
          <cell r="E54">
            <v>894072</v>
          </cell>
        </row>
        <row r="55">
          <cell r="E55">
            <v>890513</v>
          </cell>
        </row>
        <row r="56">
          <cell r="E56">
            <v>886742</v>
          </cell>
        </row>
        <row r="57">
          <cell r="E57">
            <v>867351</v>
          </cell>
        </row>
        <row r="58">
          <cell r="E58">
            <v>867505</v>
          </cell>
        </row>
        <row r="59">
          <cell r="E59">
            <v>862098</v>
          </cell>
        </row>
        <row r="60">
          <cell r="E60">
            <v>855790</v>
          </cell>
        </row>
        <row r="61">
          <cell r="E61">
            <v>857064</v>
          </cell>
        </row>
        <row r="62">
          <cell r="E62">
            <v>843428</v>
          </cell>
        </row>
        <row r="63">
          <cell r="E63">
            <v>859760</v>
          </cell>
        </row>
        <row r="64">
          <cell r="E64">
            <v>839880</v>
          </cell>
        </row>
        <row r="65">
          <cell r="E65">
            <v>873239</v>
          </cell>
        </row>
        <row r="66">
          <cell r="E66">
            <v>862163</v>
          </cell>
        </row>
        <row r="67">
          <cell r="E67">
            <v>861536</v>
          </cell>
        </row>
        <row r="68">
          <cell r="E68">
            <v>847584</v>
          </cell>
        </row>
        <row r="69">
          <cell r="E69">
            <v>804861</v>
          </cell>
        </row>
        <row r="70">
          <cell r="E70">
            <v>610308</v>
          </cell>
        </row>
        <row r="71">
          <cell r="E71">
            <v>600014</v>
          </cell>
        </row>
        <row r="72">
          <cell r="E72">
            <v>583743</v>
          </cell>
        </row>
        <row r="73">
          <cell r="E73">
            <v>546523</v>
          </cell>
        </row>
        <row r="74">
          <cell r="E74">
            <v>487297</v>
          </cell>
        </row>
        <row r="75">
          <cell r="E75">
            <v>509268</v>
          </cell>
        </row>
        <row r="76">
          <cell r="E76">
            <v>535806</v>
          </cell>
        </row>
        <row r="77">
          <cell r="E77">
            <v>526550</v>
          </cell>
        </row>
        <row r="78">
          <cell r="E78">
            <v>521269</v>
          </cell>
        </row>
        <row r="79">
          <cell r="E79">
            <v>524789</v>
          </cell>
        </row>
        <row r="80">
          <cell r="E80">
            <v>514674</v>
          </cell>
        </row>
        <row r="81">
          <cell r="E81">
            <v>521517</v>
          </cell>
        </row>
        <row r="82">
          <cell r="E82">
            <v>504645</v>
          </cell>
        </row>
        <row r="83">
          <cell r="E83">
            <v>517094</v>
          </cell>
        </row>
        <row r="84">
          <cell r="E84">
            <v>499429</v>
          </cell>
        </row>
        <row r="85">
          <cell r="E85">
            <v>495751</v>
          </cell>
        </row>
        <row r="86">
          <cell r="E86">
            <v>459968</v>
          </cell>
        </row>
        <row r="87">
          <cell r="E87">
            <v>446699</v>
          </cell>
        </row>
        <row r="88">
          <cell r="E88">
            <v>423272</v>
          </cell>
        </row>
        <row r="89">
          <cell r="E89">
            <v>408517</v>
          </cell>
        </row>
        <row r="90">
          <cell r="E90">
            <v>388225</v>
          </cell>
        </row>
        <row r="91">
          <cell r="E91">
            <v>360156</v>
          </cell>
        </row>
        <row r="92">
          <cell r="E92">
            <v>341909</v>
          </cell>
        </row>
        <row r="93">
          <cell r="E93">
            <v>319602</v>
          </cell>
        </row>
        <row r="94">
          <cell r="E94">
            <v>303351</v>
          </cell>
        </row>
        <row r="95">
          <cell r="E95">
            <v>280925</v>
          </cell>
        </row>
        <row r="96">
          <cell r="E96">
            <v>152320</v>
          </cell>
        </row>
        <row r="97">
          <cell r="E97">
            <v>119397</v>
          </cell>
        </row>
        <row r="98">
          <cell r="E98">
            <v>94306</v>
          </cell>
        </row>
        <row r="99">
          <cell r="E99">
            <v>76353</v>
          </cell>
        </row>
        <row r="100">
          <cell r="E100">
            <v>78805</v>
          </cell>
        </row>
        <row r="101">
          <cell r="E101">
            <v>101095</v>
          </cell>
        </row>
        <row r="102">
          <cell r="E102">
            <v>81918</v>
          </cell>
        </row>
        <row r="103">
          <cell r="E103">
            <v>65177</v>
          </cell>
        </row>
        <row r="104">
          <cell r="E104">
            <v>47026</v>
          </cell>
        </row>
        <row r="105">
          <cell r="E105">
            <v>37143</v>
          </cell>
        </row>
        <row r="106">
          <cell r="E106">
            <v>25743</v>
          </cell>
        </row>
        <row r="107">
          <cell r="E107">
            <v>18040</v>
          </cell>
        </row>
        <row r="108">
          <cell r="E108">
            <v>11740</v>
          </cell>
        </row>
        <row r="109">
          <cell r="E109">
            <v>8189</v>
          </cell>
        </row>
        <row r="110">
          <cell r="E110">
            <v>13575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RevNatPib"/>
      <sheetName val="TableRevNationalSecteurs"/>
      <sheetName val="TableRevNationalSecteurs(%)"/>
      <sheetName val="TableRevNatRevDispo"/>
      <sheetName val="TableConsoEpargne"/>
      <sheetName val="TableImpôts"/>
      <sheetName val="TableImpôtsIndirects"/>
      <sheetName val="TableImpôtsDirects"/>
      <sheetName val="TableCotisationsSociales"/>
      <sheetName val="TableCotisationsPatronales"/>
      <sheetName val="TableCotisationsSalariales"/>
      <sheetName val="TableTransferts"/>
      <sheetName val="TableRevFinanciers"/>
      <sheetName val="TableRevFonciers"/>
      <sheetName val="TableAssietteCSG-1)"/>
      <sheetName val="TableAssietteCSG(2)"/>
      <sheetName val="TableAssietteCSG(RK)"/>
      <sheetName val="TableSynthèseRevFinanciers"/>
      <sheetName val="TableSynthèseRevFinanciers(%)"/>
      <sheetName val="TableRevenusIRPP"/>
      <sheetName val="TableRevFinanciersIRPP"/>
      <sheetName val="OldTable4"/>
      <sheetName val="OldTable5"/>
      <sheetName val="OldTable7"/>
      <sheetName val="OldTable8"/>
      <sheetName val="OldTable9"/>
    </sheetNames>
    <sheetDataSet>
      <sheetData sheetId="9">
        <row r="9">
          <cell r="F9">
            <v>5.693999999999988</v>
          </cell>
          <cell r="J9">
            <v>45.256</v>
          </cell>
          <cell r="K9">
            <v>31.947</v>
          </cell>
        </row>
      </sheetData>
      <sheetData sheetId="10">
        <row r="9">
          <cell r="E9">
            <v>21.64699999999999</v>
          </cell>
          <cell r="I9">
            <v>101.39789</v>
          </cell>
          <cell r="L9">
            <v>1.7809999999999988</v>
          </cell>
        </row>
      </sheetData>
      <sheetData sheetId="14">
        <row r="10">
          <cell r="D10">
            <v>482.24697147762515</v>
          </cell>
          <cell r="E10">
            <v>165.16095993045968</v>
          </cell>
          <cell r="F10">
            <v>92.26763986749101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workbookViewId="0" topLeftCell="A1">
      <selection activeCell="A1" sqref="A1"/>
    </sheetView>
  </sheetViews>
  <sheetFormatPr defaultColWidth="11.421875" defaultRowHeight="12.75"/>
  <sheetData>
    <row r="1" spans="1:2" ht="12.75">
      <c r="A1" t="s">
        <v>149</v>
      </c>
      <c r="B1" s="7" t="s">
        <v>150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selection activeCell="A1" sqref="A1"/>
    </sheetView>
  </sheetViews>
  <sheetFormatPr defaultColWidth="11.421875" defaultRowHeight="12.75"/>
  <cols>
    <col min="1" max="28" width="9.7109375" style="0" customWidth="1"/>
  </cols>
  <sheetData>
    <row r="1" ht="12.75">
      <c r="A1" s="7" t="s">
        <v>111</v>
      </c>
    </row>
    <row r="2" ht="12.75">
      <c r="A2" t="s">
        <v>90</v>
      </c>
    </row>
    <row r="4" spans="1:13" ht="12.75">
      <c r="A4" s="68" t="s">
        <v>112</v>
      </c>
      <c r="J4" s="59"/>
      <c r="M4" s="59"/>
    </row>
    <row r="6" spans="1:10" ht="12.75">
      <c r="A6" s="6" t="s">
        <v>80</v>
      </c>
      <c r="B6" s="6" t="s">
        <v>105</v>
      </c>
      <c r="C6" s="6" t="s">
        <v>106</v>
      </c>
      <c r="D6" s="6" t="s">
        <v>107</v>
      </c>
      <c r="E6" s="6" t="s">
        <v>108</v>
      </c>
      <c r="G6" s="6" t="s">
        <v>106</v>
      </c>
      <c r="H6" s="6" t="s">
        <v>107</v>
      </c>
      <c r="I6" s="6" t="s">
        <v>108</v>
      </c>
      <c r="J6" s="6" t="s">
        <v>130</v>
      </c>
    </row>
    <row r="7" spans="1:11" ht="12.75">
      <c r="A7" s="1">
        <v>0</v>
      </c>
      <c r="B7" s="26">
        <v>20542341.29611</v>
      </c>
      <c r="C7" s="60">
        <v>18823.94</v>
      </c>
      <c r="D7" s="60">
        <v>23057.23</v>
      </c>
      <c r="E7" s="60">
        <v>3092.648</v>
      </c>
      <c r="F7" s="4">
        <f>E7/D7</f>
        <v>0.13412920806185305</v>
      </c>
      <c r="G7" s="55">
        <f aca="true" t="shared" si="0" ref="G7:I9">$B7*C7/1000000000</f>
        <v>386.68780001749684</v>
      </c>
      <c r="H7" s="55">
        <f t="shared" si="0"/>
        <v>473.64948800290637</v>
      </c>
      <c r="I7" s="55">
        <f t="shared" si="0"/>
        <v>63.530230724732</v>
      </c>
      <c r="J7" s="55">
        <f>'[3]TableAssietteCSG-1)'!$D$10</f>
        <v>482.24697147762515</v>
      </c>
      <c r="K7" s="64">
        <f>H7/J7</f>
        <v>0.9821720322091899</v>
      </c>
    </row>
    <row r="8" spans="1:11" ht="12.75">
      <c r="A8" s="1">
        <v>1</v>
      </c>
      <c r="B8" s="26">
        <v>6997789</v>
      </c>
      <c r="C8" s="60">
        <v>20179.91</v>
      </c>
      <c r="D8" s="60">
        <v>23141.3</v>
      </c>
      <c r="E8" s="60">
        <v>1816.592</v>
      </c>
      <c r="F8" s="4">
        <f>E8/D8</f>
        <v>0.0784999978393608</v>
      </c>
      <c r="G8" s="55">
        <f t="shared" si="0"/>
        <v>141.21475221899</v>
      </c>
      <c r="H8" s="55">
        <f t="shared" si="0"/>
        <v>161.9379345857</v>
      </c>
      <c r="I8" s="55">
        <f t="shared" si="0"/>
        <v>12.712127515088001</v>
      </c>
      <c r="J8" s="55">
        <f>'[3]TableAssietteCSG-1)'!$E$10</f>
        <v>165.16095993045968</v>
      </c>
      <c r="K8" s="64">
        <f>H8/J8</f>
        <v>0.9804855496957833</v>
      </c>
    </row>
    <row r="9" spans="1:11" ht="12.75">
      <c r="A9" s="1" t="s">
        <v>1</v>
      </c>
      <c r="B9" s="26">
        <f>B7+B8</f>
        <v>27540130.29611</v>
      </c>
      <c r="C9" s="11">
        <f>($B7*C7+$B8*C8)/$B9</f>
        <v>19168.48419235882</v>
      </c>
      <c r="D9" s="11">
        <f>($B7*D7+$B8*D8)/$B9</f>
        <v>23078.59170435305</v>
      </c>
      <c r="E9" s="11">
        <f>($B7*E7+$B8*E8)/$B9</f>
        <v>2768.4094962538766</v>
      </c>
      <c r="F9" s="4">
        <f>E9/D9</f>
        <v>0.11995573784217099</v>
      </c>
      <c r="G9" s="55">
        <f t="shared" si="0"/>
        <v>527.9025522364868</v>
      </c>
      <c r="H9" s="55">
        <f t="shared" si="0"/>
        <v>635.5874225886063</v>
      </c>
      <c r="I9" s="55">
        <f t="shared" si="0"/>
        <v>76.24235823982</v>
      </c>
      <c r="J9" s="55">
        <f>'[3]TableAssietteCSG-1)'!$D$10+'[3]TableAssietteCSG-1)'!$E$10</f>
        <v>647.4079314080848</v>
      </c>
      <c r="K9" s="64">
        <f>H9/J9</f>
        <v>0.9817417917729716</v>
      </c>
    </row>
    <row r="10" spans="1:9" ht="12.75">
      <c r="A10" s="1"/>
      <c r="B10" s="26"/>
      <c r="C10" s="11"/>
      <c r="D10" s="11"/>
      <c r="E10" s="11"/>
      <c r="F10" s="64"/>
      <c r="G10" s="55"/>
      <c r="H10" s="64" t="s">
        <v>91</v>
      </c>
      <c r="I10" s="55">
        <f>'[3]TableCotisationsSalariales'!$E$9</f>
        <v>21.64699999999999</v>
      </c>
    </row>
    <row r="11" spans="1:9" ht="12.75">
      <c r="A11" s="1"/>
      <c r="B11" s="26"/>
      <c r="C11" s="11"/>
      <c r="D11" s="11"/>
      <c r="E11" s="11"/>
      <c r="G11" s="61" t="s">
        <v>110</v>
      </c>
      <c r="I11" s="64">
        <f>I10/I9</f>
        <v>0.2839235367288804</v>
      </c>
    </row>
    <row r="12" spans="1:9" ht="12.75">
      <c r="A12" s="1"/>
      <c r="B12" s="26"/>
      <c r="C12" s="11"/>
      <c r="D12" s="11"/>
      <c r="E12" s="11"/>
      <c r="G12" s="61" t="s">
        <v>109</v>
      </c>
      <c r="I12" s="64">
        <f>K9</f>
        <v>0.9817417917729716</v>
      </c>
    </row>
    <row r="13" spans="1:9" ht="12.75">
      <c r="A13" s="1"/>
      <c r="B13" s="26"/>
      <c r="C13" s="11"/>
      <c r="D13" s="11"/>
      <c r="E13" s="11"/>
      <c r="G13" s="61"/>
      <c r="I13" s="64"/>
    </row>
    <row r="14" spans="1:9" ht="12.75">
      <c r="A14" s="62" t="s">
        <v>135</v>
      </c>
      <c r="B14" s="26"/>
      <c r="C14" s="11"/>
      <c r="D14" s="11"/>
      <c r="E14" s="11"/>
      <c r="H14" s="64"/>
      <c r="I14" s="64"/>
    </row>
    <row r="15" spans="1:13" ht="12.75">
      <c r="A15" t="s">
        <v>136</v>
      </c>
      <c r="K15" s="58"/>
      <c r="M15" s="58"/>
    </row>
    <row r="16" spans="1:13" ht="12.75">
      <c r="A16" t="s">
        <v>137</v>
      </c>
      <c r="K16" s="3"/>
      <c r="L16" s="3"/>
      <c r="M16" s="3"/>
    </row>
    <row r="17" spans="1:13" ht="12.75">
      <c r="A17" t="s">
        <v>113</v>
      </c>
      <c r="K17" s="3"/>
      <c r="L17" s="3"/>
      <c r="M17" s="3"/>
    </row>
    <row r="18" spans="1:13" ht="12.75">
      <c r="A18" t="s">
        <v>138</v>
      </c>
      <c r="K18" s="3"/>
      <c r="L18" s="3"/>
      <c r="M18" s="3"/>
    </row>
    <row r="19" spans="1:13" ht="12.75">
      <c r="A19" t="s">
        <v>132</v>
      </c>
      <c r="K19" s="3"/>
      <c r="L19" s="3"/>
      <c r="M19" s="3"/>
    </row>
    <row r="20" spans="1:13" ht="12.75">
      <c r="A20" t="s">
        <v>114</v>
      </c>
      <c r="K20" s="3"/>
      <c r="L20" s="3"/>
      <c r="M20" s="3"/>
    </row>
    <row r="21" spans="1:13" ht="12.75">
      <c r="A21" t="s">
        <v>139</v>
      </c>
      <c r="K21" s="3"/>
      <c r="L21" s="3"/>
      <c r="M21" s="3"/>
    </row>
    <row r="22" spans="11:13" ht="12.75">
      <c r="K22" s="3"/>
      <c r="L22" s="3"/>
      <c r="M22" s="3"/>
    </row>
    <row r="23" spans="1:13" ht="12.75">
      <c r="A23" s="68" t="s">
        <v>115</v>
      </c>
      <c r="K23" s="3"/>
      <c r="L23" s="3"/>
      <c r="M23" s="3"/>
    </row>
    <row r="24" spans="11:13" ht="12.75">
      <c r="K24" s="3"/>
      <c r="L24" s="3"/>
      <c r="M24" s="3"/>
    </row>
    <row r="25" spans="1:16" ht="12.75">
      <c r="A25" s="6" t="s">
        <v>80</v>
      </c>
      <c r="B25" s="6" t="s">
        <v>105</v>
      </c>
      <c r="C25" s="6" t="s">
        <v>106</v>
      </c>
      <c r="D25" s="6" t="s">
        <v>107</v>
      </c>
      <c r="E25" s="32" t="s">
        <v>117</v>
      </c>
      <c r="F25" s="6" t="s">
        <v>123</v>
      </c>
      <c r="G25" s="32" t="s">
        <v>117</v>
      </c>
      <c r="H25" s="6" t="s">
        <v>123</v>
      </c>
      <c r="I25" s="6" t="s">
        <v>106</v>
      </c>
      <c r="J25" s="6" t="s">
        <v>107</v>
      </c>
      <c r="K25" s="32" t="s">
        <v>117</v>
      </c>
      <c r="L25" s="6" t="s">
        <v>123</v>
      </c>
      <c r="M25" s="6"/>
      <c r="O25" s="3"/>
      <c r="P25" s="3"/>
    </row>
    <row r="26" spans="1:16" ht="12.75">
      <c r="A26" s="1">
        <v>0</v>
      </c>
      <c r="B26" s="26">
        <v>20542341.29611</v>
      </c>
      <c r="C26" s="60">
        <v>18823.94</v>
      </c>
      <c r="D26" s="60">
        <v>23057.23</v>
      </c>
      <c r="E26" s="60">
        <v>8013.624</v>
      </c>
      <c r="F26" s="60">
        <v>1111.658</v>
      </c>
      <c r="G26" s="4">
        <f>E26/$D26</f>
        <v>0.3475536306833041</v>
      </c>
      <c r="H26" s="4">
        <f>F26/$D26</f>
        <v>0.048212990025254546</v>
      </c>
      <c r="I26" s="55">
        <f>$B26*C26/1000000000</f>
        <v>386.68780001749684</v>
      </c>
      <c r="J26" s="55">
        <f>$B26*D26/1000000000</f>
        <v>473.64948800290637</v>
      </c>
      <c r="K26" s="55">
        <f>$B26*E26/1000000000</f>
        <v>164.61859922669822</v>
      </c>
      <c r="L26" s="55">
        <f>$B26*F26/1000000000</f>
        <v>22.83605804055105</v>
      </c>
      <c r="M26" s="55">
        <f>K26+L26</f>
        <v>187.45465726724927</v>
      </c>
      <c r="N26" s="64"/>
      <c r="O26" s="3"/>
      <c r="P26" s="3"/>
    </row>
    <row r="27" spans="1:16" ht="12.75">
      <c r="A27" s="1">
        <v>1</v>
      </c>
      <c r="B27" s="26">
        <v>6997789</v>
      </c>
      <c r="C27" s="60">
        <v>20179.91</v>
      </c>
      <c r="D27" s="60">
        <v>23141.3</v>
      </c>
      <c r="E27" s="60"/>
      <c r="F27" s="60">
        <v>0</v>
      </c>
      <c r="G27" s="4">
        <f>E27/D27</f>
        <v>0</v>
      </c>
      <c r="H27" s="4"/>
      <c r="I27" s="55">
        <f>$B27*C27/1000000000</f>
        <v>141.21475221899</v>
      </c>
      <c r="J27" s="55">
        <f>$B27*D27/1000000000</f>
        <v>161.9379345857</v>
      </c>
      <c r="K27" s="55">
        <f>$B27*E27/1000000000</f>
        <v>0</v>
      </c>
      <c r="L27" s="55"/>
      <c r="N27" s="64"/>
      <c r="O27" s="3"/>
      <c r="P27" s="3"/>
    </row>
    <row r="28" spans="1:16" ht="12.75">
      <c r="A28" s="1"/>
      <c r="B28" s="26"/>
      <c r="C28" s="11"/>
      <c r="D28" s="11"/>
      <c r="E28" s="11"/>
      <c r="F28" s="11"/>
      <c r="G28" s="4"/>
      <c r="H28" s="4"/>
      <c r="I28" s="55"/>
      <c r="J28" s="69" t="s">
        <v>118</v>
      </c>
      <c r="K28" s="55"/>
      <c r="L28" s="55">
        <f>'[3]TableCotisationsPatronales'!$F$9</f>
        <v>5.693999999999988</v>
      </c>
      <c r="M28" s="55">
        <f>L28+L33</f>
        <v>25.11599999999999</v>
      </c>
      <c r="N28" s="64"/>
      <c r="O28" s="3"/>
      <c r="P28" s="3"/>
    </row>
    <row r="29" spans="1:15" ht="12.75">
      <c r="A29" s="62"/>
      <c r="B29" s="26"/>
      <c r="C29" s="11"/>
      <c r="D29" s="11"/>
      <c r="E29" s="11"/>
      <c r="F29" s="64"/>
      <c r="G29" s="55"/>
      <c r="H29" s="55"/>
      <c r="I29" s="64"/>
      <c r="J29" s="61" t="s">
        <v>110</v>
      </c>
      <c r="L29" s="64">
        <f>L28/K26</f>
        <v>0.03458904417087594</v>
      </c>
      <c r="M29" s="64">
        <f>M28/M26</f>
        <v>0.13398440116743943</v>
      </c>
      <c r="N29" s="3"/>
      <c r="O29" s="3"/>
    </row>
    <row r="30" spans="1:15" ht="12.75">
      <c r="A30" s="1"/>
      <c r="B30" s="26"/>
      <c r="C30" s="11"/>
      <c r="D30" s="11"/>
      <c r="E30" s="11"/>
      <c r="F30" s="11"/>
      <c r="J30" s="69" t="s">
        <v>119</v>
      </c>
      <c r="L30" s="55">
        <f>'[3]TableCotisationsPatronales'!$J$9+'[3]TableCotisationsPatronales'!$K$9</f>
        <v>77.203</v>
      </c>
      <c r="N30" s="3"/>
      <c r="O30" s="3"/>
    </row>
    <row r="31" spans="1:15" ht="12.75">
      <c r="A31" s="1"/>
      <c r="B31" s="26"/>
      <c r="C31" s="11"/>
      <c r="D31" s="11"/>
      <c r="E31" s="11"/>
      <c r="F31" s="11"/>
      <c r="I31" s="61"/>
      <c r="J31" t="s">
        <v>120</v>
      </c>
      <c r="K31" s="64"/>
      <c r="L31" s="4">
        <f>L30/(L29*J27)</f>
        <v>13.783103582468728</v>
      </c>
      <c r="N31" s="3"/>
      <c r="O31" s="3"/>
    </row>
    <row r="32" spans="10:13" ht="12.75">
      <c r="J32" t="s">
        <v>121</v>
      </c>
      <c r="K32" s="3"/>
      <c r="L32" s="55">
        <f>L26</f>
        <v>22.83605804055105</v>
      </c>
      <c r="M32" s="55">
        <v>12.478</v>
      </c>
    </row>
    <row r="33" spans="10:13" ht="12.75">
      <c r="J33" t="s">
        <v>122</v>
      </c>
      <c r="K33" s="3"/>
      <c r="L33" s="55">
        <v>19.422</v>
      </c>
      <c r="M33" s="55">
        <v>9.442</v>
      </c>
    </row>
    <row r="34" spans="11:13" ht="12.75">
      <c r="K34" s="3"/>
      <c r="L34" s="64">
        <f>L33/L32</f>
        <v>0.8504970501262281</v>
      </c>
      <c r="M34" s="64">
        <f>M33/M32</f>
        <v>0.7566917775284501</v>
      </c>
    </row>
    <row r="35" spans="11:13" ht="12.75">
      <c r="K35" s="3"/>
      <c r="L35" s="3"/>
      <c r="M35" s="3"/>
    </row>
    <row r="36" spans="1:13" ht="12.75">
      <c r="A36" t="s">
        <v>140</v>
      </c>
      <c r="K36" s="3"/>
      <c r="L36" s="3"/>
      <c r="M36" s="3"/>
    </row>
    <row r="37" spans="1:13" ht="12.75">
      <c r="A37" t="s">
        <v>131</v>
      </c>
      <c r="K37" s="3"/>
      <c r="L37" s="3"/>
      <c r="M37" s="3"/>
    </row>
    <row r="38" spans="1:13" ht="12.75">
      <c r="A38" s="62" t="s">
        <v>141</v>
      </c>
      <c r="K38" s="3"/>
      <c r="L38" s="3"/>
      <c r="M38" s="3"/>
    </row>
    <row r="39" spans="1:13" ht="12.75">
      <c r="A39" s="62" t="s">
        <v>142</v>
      </c>
      <c r="K39" s="3"/>
      <c r="L39" s="3"/>
      <c r="M39" s="3"/>
    </row>
    <row r="40" spans="1:13" ht="12.75">
      <c r="A40" s="62" t="s">
        <v>133</v>
      </c>
      <c r="K40" s="3"/>
      <c r="L40" s="3"/>
      <c r="M40" s="3"/>
    </row>
    <row r="41" spans="1:13" ht="12.75">
      <c r="A41" s="62" t="s">
        <v>134</v>
      </c>
      <c r="K41" s="3"/>
      <c r="L41" s="3"/>
      <c r="M41" s="3"/>
    </row>
    <row r="42" spans="1:13" ht="12.75">
      <c r="A42" s="62" t="s">
        <v>143</v>
      </c>
      <c r="K42" s="3"/>
      <c r="L42" s="3"/>
      <c r="M42" s="3"/>
    </row>
    <row r="43" ht="12.75">
      <c r="A43" s="62"/>
    </row>
    <row r="44" ht="12.75">
      <c r="A44" s="68" t="s">
        <v>116</v>
      </c>
    </row>
    <row r="46" spans="1:7" ht="12.75">
      <c r="A46" s="7" t="s">
        <v>97</v>
      </c>
      <c r="B46" s="7" t="s">
        <v>98</v>
      </c>
      <c r="C46" s="7" t="s">
        <v>99</v>
      </c>
      <c r="D46" s="7" t="s">
        <v>124</v>
      </c>
      <c r="E46" s="7" t="s">
        <v>125</v>
      </c>
      <c r="F46" s="7" t="s">
        <v>126</v>
      </c>
      <c r="G46" s="7" t="s">
        <v>127</v>
      </c>
    </row>
    <row r="47" spans="1:8" ht="12.75">
      <c r="A47" s="2">
        <v>2367763</v>
      </c>
      <c r="B47" s="11">
        <v>26808.33</v>
      </c>
      <c r="C47" s="11">
        <v>38231.16</v>
      </c>
      <c r="D47" s="11">
        <v>9473.033</v>
      </c>
      <c r="E47" s="55">
        <v>63.47577</v>
      </c>
      <c r="F47" s="55">
        <v>90.5223</v>
      </c>
      <c r="G47" s="55">
        <v>22.42989</v>
      </c>
      <c r="H47" s="4">
        <f>G47/F47</f>
        <v>0.24778303246824263</v>
      </c>
    </row>
    <row r="48" spans="1:8" ht="12.75">
      <c r="A48" s="2"/>
      <c r="B48" s="11"/>
      <c r="C48" s="11"/>
      <c r="D48" s="11"/>
      <c r="E48" s="67">
        <f>($A47*B47/1000000000)/E47</f>
        <v>1.0000000293937357</v>
      </c>
      <c r="F48" s="67">
        <f>($A47*C47/1000000000)/F47</f>
        <v>1.0000002882723926</v>
      </c>
      <c r="G48" s="67">
        <f>($A47*D47/1000000000)/G47</f>
        <v>1.0000003136519615</v>
      </c>
      <c r="H48" s="4"/>
    </row>
    <row r="49" spans="3:9" ht="12.75">
      <c r="C49" s="60"/>
      <c r="D49" s="63" t="s">
        <v>92</v>
      </c>
      <c r="E49" s="66"/>
      <c r="F49" s="55">
        <f>'[3]TableAssietteCSG-1)'!$F$10</f>
        <v>92.26763986749101</v>
      </c>
      <c r="G49" s="55"/>
      <c r="I49" s="65"/>
    </row>
    <row r="50" spans="3:9" ht="12.75">
      <c r="C50" s="60"/>
      <c r="D50" s="63" t="s">
        <v>91</v>
      </c>
      <c r="E50" s="55">
        <f>F50-G50</f>
        <v>99.61689000000001</v>
      </c>
      <c r="F50" s="55">
        <f>'[3]TableCotisationsSalariales'!$I$9</f>
        <v>101.39789</v>
      </c>
      <c r="G50" s="55">
        <f>'[3]TableCotisationsSalariales'!$L$9</f>
        <v>1.7809999999999988</v>
      </c>
      <c r="I50" s="4">
        <f>G50/F50</f>
        <v>0.0175644680574714</v>
      </c>
    </row>
    <row r="51" spans="3:7" ht="12.75">
      <c r="C51" s="61" t="s">
        <v>93</v>
      </c>
      <c r="E51" s="66"/>
      <c r="F51" s="3">
        <f>F49/F50</f>
        <v>0.9099562117859751</v>
      </c>
      <c r="G51" s="3"/>
    </row>
    <row r="52" spans="3:7" ht="12.75">
      <c r="C52" s="61" t="s">
        <v>94</v>
      </c>
      <c r="E52" s="66"/>
      <c r="F52" s="3">
        <f>F47/F49</f>
        <v>0.9810839437315448</v>
      </c>
      <c r="G52" s="3"/>
    </row>
    <row r="53" spans="3:7" ht="12.75">
      <c r="C53" s="61" t="s">
        <v>95</v>
      </c>
      <c r="E53" s="66"/>
      <c r="F53" s="3">
        <f>G50/G47</f>
        <v>0.07940297522636085</v>
      </c>
      <c r="G53" s="3"/>
    </row>
    <row r="54" spans="3:7" ht="12.75">
      <c r="C54" s="61" t="s">
        <v>96</v>
      </c>
      <c r="E54" s="66"/>
      <c r="F54" s="3">
        <f>F51*F52*F53</f>
        <v>0.07088648436701399</v>
      </c>
      <c r="G54" s="4">
        <f>F54*H47</f>
        <v>0.0175644680574714</v>
      </c>
    </row>
    <row r="56" ht="12.75">
      <c r="A56" t="s">
        <v>128</v>
      </c>
    </row>
    <row r="57" ht="12.75">
      <c r="A57" t="s">
        <v>144</v>
      </c>
    </row>
    <row r="58" ht="12.75">
      <c r="A58" t="s">
        <v>100</v>
      </c>
    </row>
    <row r="59" ht="12.75">
      <c r="A59" t="s">
        <v>145</v>
      </c>
    </row>
    <row r="60" ht="12.75">
      <c r="A60" t="s">
        <v>101</v>
      </c>
    </row>
    <row r="61" ht="12.75">
      <c r="A61" t="s">
        <v>102</v>
      </c>
    </row>
    <row r="62" ht="12.75">
      <c r="A62" t="s">
        <v>103</v>
      </c>
    </row>
    <row r="63" ht="12.75">
      <c r="A63" t="s">
        <v>146</v>
      </c>
    </row>
    <row r="64" ht="12.75">
      <c r="A64" t="s">
        <v>129</v>
      </c>
    </row>
    <row r="65" ht="12.75">
      <c r="A65" t="s">
        <v>147</v>
      </c>
    </row>
    <row r="66" ht="12.75">
      <c r="A66" t="s">
        <v>148</v>
      </c>
    </row>
    <row r="67" ht="12.75">
      <c r="A67" t="s">
        <v>104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A1" sqref="A1"/>
    </sheetView>
  </sheetViews>
  <sheetFormatPr defaultColWidth="11.421875" defaultRowHeight="12.75"/>
  <cols>
    <col min="5" max="5" width="10.7109375" style="0" customWidth="1"/>
  </cols>
  <sheetData>
    <row r="1" ht="12.75">
      <c r="A1" t="s">
        <v>8</v>
      </c>
    </row>
    <row r="2" ht="12.75">
      <c r="A2" t="s">
        <v>35</v>
      </c>
    </row>
    <row r="3" ht="12.75">
      <c r="A3" t="s">
        <v>36</v>
      </c>
    </row>
    <row r="4" ht="12.75">
      <c r="A4" t="s">
        <v>37</v>
      </c>
    </row>
    <row r="6" spans="1:15" ht="12.75">
      <c r="A6" s="6" t="s">
        <v>0</v>
      </c>
      <c r="B6" s="6" t="s">
        <v>5</v>
      </c>
      <c r="C6" s="6" t="s">
        <v>1</v>
      </c>
      <c r="D6" s="6" t="s">
        <v>6</v>
      </c>
      <c r="E6" s="6" t="s">
        <v>2</v>
      </c>
      <c r="F6" s="6" t="s">
        <v>3</v>
      </c>
      <c r="G6" s="6" t="s">
        <v>9</v>
      </c>
      <c r="H6" s="6" t="s">
        <v>10</v>
      </c>
      <c r="I6" s="6" t="s">
        <v>4</v>
      </c>
      <c r="J6" s="6" t="s">
        <v>32</v>
      </c>
      <c r="K6" s="6" t="s">
        <v>33</v>
      </c>
      <c r="L6" s="6" t="s">
        <v>34</v>
      </c>
      <c r="M6" s="6" t="s">
        <v>38</v>
      </c>
      <c r="N6" s="33" t="s">
        <v>47</v>
      </c>
      <c r="O6" s="32" t="s">
        <v>48</v>
      </c>
    </row>
    <row r="7" spans="1:15" ht="12.75">
      <c r="A7" s="1">
        <v>0</v>
      </c>
      <c r="B7" s="2">
        <v>90531</v>
      </c>
      <c r="C7" s="2">
        <v>5119384</v>
      </c>
      <c r="D7" s="2">
        <v>56.54841</v>
      </c>
      <c r="E7" s="3">
        <v>0.5040255</v>
      </c>
      <c r="F7" s="3">
        <v>0.4959745</v>
      </c>
      <c r="G7" s="3">
        <v>7.02E-05</v>
      </c>
      <c r="H7" s="3">
        <v>0</v>
      </c>
      <c r="I7" s="3">
        <v>0.0011108</v>
      </c>
      <c r="J7" s="3">
        <v>0.998819</v>
      </c>
      <c r="K7" s="5">
        <f>G7+H7</f>
        <v>7.02E-05</v>
      </c>
      <c r="L7" s="5">
        <f>I7+J7</f>
        <v>0.9999298</v>
      </c>
      <c r="M7" s="3">
        <f>G7+H7+I7</f>
        <v>0.001181</v>
      </c>
      <c r="N7" s="2">
        <f>SUM('[2]PopSexeAge2006'!$E$10:$E$14)+1000*'[2]Table0'!$K$8</f>
        <v>4740318</v>
      </c>
      <c r="O7" s="3">
        <f>C7/N7</f>
        <v>1.0799663651257152</v>
      </c>
    </row>
    <row r="8" spans="1:15" ht="12.75">
      <c r="A8" s="1">
        <v>5</v>
      </c>
      <c r="B8" s="2">
        <v>96129</v>
      </c>
      <c r="C8" s="2">
        <v>4186787</v>
      </c>
      <c r="D8" s="2">
        <v>43.55384</v>
      </c>
      <c r="E8" s="3">
        <v>0.4964241</v>
      </c>
      <c r="F8" s="3">
        <v>0.5035759</v>
      </c>
      <c r="G8" s="3">
        <v>4.26E-05</v>
      </c>
      <c r="H8" s="3">
        <v>4.01E-06</v>
      </c>
      <c r="I8" s="3">
        <v>0.0002127</v>
      </c>
      <c r="J8" s="3">
        <v>0.9997407</v>
      </c>
      <c r="K8" s="5">
        <f aca="true" t="shared" si="0" ref="K8:K25">G8+H8</f>
        <v>4.6609999999999996E-05</v>
      </c>
      <c r="L8" s="5">
        <f aca="true" t="shared" si="1" ref="L8:L25">I8+J8</f>
        <v>0.9999534</v>
      </c>
      <c r="M8" s="3">
        <f aca="true" t="shared" si="2" ref="M8:M25">G8+H8+I8</f>
        <v>0.00025931</v>
      </c>
      <c r="N8" s="2">
        <f>SUM('[2]PopSexeAge2006'!$E$15:$E$19)</f>
        <v>3925385</v>
      </c>
      <c r="O8" s="3">
        <f aca="true" t="shared" si="3" ref="O8:O25">C8/N8</f>
        <v>1.0665927036456297</v>
      </c>
    </row>
    <row r="9" spans="1:15" ht="12.75">
      <c r="A9" s="1">
        <v>10</v>
      </c>
      <c r="B9" s="2">
        <v>101858</v>
      </c>
      <c r="C9" s="2">
        <v>4106333</v>
      </c>
      <c r="D9" s="2">
        <v>40.3143</v>
      </c>
      <c r="E9" s="3">
        <v>0.4972529</v>
      </c>
      <c r="F9" s="3">
        <v>0.5027471</v>
      </c>
      <c r="G9" s="3">
        <v>4.87E-05</v>
      </c>
      <c r="H9" s="3">
        <v>9.53E-05</v>
      </c>
      <c r="I9" s="3">
        <v>0.0007342</v>
      </c>
      <c r="J9" s="3">
        <v>0.9991218</v>
      </c>
      <c r="K9" s="5">
        <f t="shared" si="0"/>
        <v>0.000144</v>
      </c>
      <c r="L9" s="5">
        <f t="shared" si="1"/>
        <v>0.999856</v>
      </c>
      <c r="M9" s="3">
        <f t="shared" si="2"/>
        <v>0.0008782</v>
      </c>
      <c r="N9" s="2">
        <f>SUM('[2]PopSexeAge2006'!$E$20:$E$24)</f>
        <v>3879599</v>
      </c>
      <c r="O9" s="3">
        <f t="shared" si="3"/>
        <v>1.0584426380149083</v>
      </c>
    </row>
    <row r="10" spans="1:15" ht="12.75">
      <c r="A10" s="1">
        <v>15</v>
      </c>
      <c r="B10" s="2">
        <v>62791</v>
      </c>
      <c r="C10" s="2">
        <v>2628833</v>
      </c>
      <c r="D10" s="2">
        <v>41.8664</v>
      </c>
      <c r="E10" s="3">
        <v>0.508165</v>
      </c>
      <c r="F10" s="3">
        <v>0.491835</v>
      </c>
      <c r="G10" s="3">
        <v>0.016976</v>
      </c>
      <c r="H10" s="3">
        <v>0.000852</v>
      </c>
      <c r="I10" s="3">
        <v>0.0055193</v>
      </c>
      <c r="J10" s="3">
        <v>0.9766527</v>
      </c>
      <c r="K10" s="5">
        <f t="shared" si="0"/>
        <v>0.017828</v>
      </c>
      <c r="L10" s="5">
        <f t="shared" si="1"/>
        <v>0.982172</v>
      </c>
      <c r="M10" s="3">
        <f t="shared" si="2"/>
        <v>0.0233473</v>
      </c>
      <c r="N10" s="2">
        <f>SUM('[2]PopSexeAge2006'!$E$25:$E$27)</f>
        <v>2493366</v>
      </c>
      <c r="O10" s="3">
        <f t="shared" si="3"/>
        <v>1.0543309726690746</v>
      </c>
    </row>
    <row r="11" spans="1:15" ht="12.75">
      <c r="A11" s="1">
        <v>18</v>
      </c>
      <c r="B11" s="2">
        <v>32659</v>
      </c>
      <c r="C11" s="2">
        <v>1457868</v>
      </c>
      <c r="D11" s="2">
        <v>44.63909</v>
      </c>
      <c r="E11" s="3">
        <v>0.5173022</v>
      </c>
      <c r="F11" s="3">
        <v>0.4826978</v>
      </c>
      <c r="G11" s="3">
        <v>0.2851641</v>
      </c>
      <c r="H11" s="3">
        <v>0.0128283</v>
      </c>
      <c r="I11" s="3">
        <v>0.6856577</v>
      </c>
      <c r="J11" s="3">
        <v>0.0163499</v>
      </c>
      <c r="K11" s="5">
        <f t="shared" si="0"/>
        <v>0.2979924</v>
      </c>
      <c r="L11" s="5">
        <f t="shared" si="1"/>
        <v>0.7020076000000001</v>
      </c>
      <c r="M11" s="3">
        <f t="shared" si="2"/>
        <v>0.9836501</v>
      </c>
      <c r="N11" s="2">
        <f>SUM('[2]PopSexeAge2006'!$E$28:$E$29)</f>
        <v>1678437</v>
      </c>
      <c r="O11" s="3">
        <f t="shared" si="3"/>
        <v>0.8685866672386273</v>
      </c>
    </row>
    <row r="12" spans="1:15" ht="12.75">
      <c r="A12" s="1">
        <v>20</v>
      </c>
      <c r="B12" s="2">
        <v>56697</v>
      </c>
      <c r="C12" s="2">
        <v>4000387</v>
      </c>
      <c r="D12" s="2">
        <v>70.55729</v>
      </c>
      <c r="E12" s="3">
        <v>0.5058677</v>
      </c>
      <c r="F12" s="3">
        <v>0.4941323</v>
      </c>
      <c r="G12" s="3">
        <v>0.7155966</v>
      </c>
      <c r="H12" s="3">
        <v>0.0638169</v>
      </c>
      <c r="I12" s="3">
        <v>0.212085</v>
      </c>
      <c r="J12" s="3">
        <v>0.0085015</v>
      </c>
      <c r="K12" s="5">
        <f t="shared" si="0"/>
        <v>0.7794135</v>
      </c>
      <c r="L12" s="5">
        <f t="shared" si="1"/>
        <v>0.2205865</v>
      </c>
      <c r="M12" s="3">
        <f t="shared" si="2"/>
        <v>0.9914985</v>
      </c>
      <c r="N12" s="2">
        <f>SUM('[2]PopSexeAge2006'!$E$30:$E$34)</f>
        <v>4044928</v>
      </c>
      <c r="O12" s="3">
        <f t="shared" si="3"/>
        <v>0.9889884319325338</v>
      </c>
    </row>
    <row r="13" spans="1:15" ht="12.75">
      <c r="A13" s="1">
        <v>25</v>
      </c>
      <c r="B13" s="2">
        <v>36416</v>
      </c>
      <c r="C13" s="2">
        <v>4249144</v>
      </c>
      <c r="D13" s="2">
        <v>116.6834</v>
      </c>
      <c r="E13" s="3">
        <v>0.5129568</v>
      </c>
      <c r="F13" s="3">
        <v>0.4870432</v>
      </c>
      <c r="G13" s="3">
        <v>0.8183973</v>
      </c>
      <c r="H13" s="3">
        <v>0.1738379</v>
      </c>
      <c r="I13" s="3">
        <v>0.001932</v>
      </c>
      <c r="J13" s="3">
        <v>0.0058328</v>
      </c>
      <c r="K13" s="5">
        <f t="shared" si="0"/>
        <v>0.9922352</v>
      </c>
      <c r="L13" s="5">
        <f t="shared" si="1"/>
        <v>0.0077648</v>
      </c>
      <c r="M13" s="3">
        <f t="shared" si="2"/>
        <v>0.9941672</v>
      </c>
      <c r="N13" s="2">
        <f>SUM('[2]PopSexeAge2006'!$E$35:$E$39)</f>
        <v>3890346</v>
      </c>
      <c r="O13" s="3">
        <f t="shared" si="3"/>
        <v>1.09222778642311</v>
      </c>
    </row>
    <row r="14" spans="1:15" ht="12.75">
      <c r="A14" s="1">
        <v>30</v>
      </c>
      <c r="B14" s="2">
        <v>59360</v>
      </c>
      <c r="C14" s="2">
        <v>4697027</v>
      </c>
      <c r="D14" s="2">
        <v>79.12781</v>
      </c>
      <c r="E14" s="3">
        <v>0.5136389</v>
      </c>
      <c r="F14" s="3">
        <v>0.4863611</v>
      </c>
      <c r="G14" s="3">
        <v>0.7460383</v>
      </c>
      <c r="H14" s="3">
        <v>0.2481951</v>
      </c>
      <c r="I14" s="3">
        <v>0.0005011</v>
      </c>
      <c r="J14" s="3">
        <v>0.0052655</v>
      </c>
      <c r="K14" s="5">
        <f t="shared" si="0"/>
        <v>0.9942334</v>
      </c>
      <c r="L14" s="5">
        <f t="shared" si="1"/>
        <v>0.0057666</v>
      </c>
      <c r="M14" s="3">
        <f t="shared" si="2"/>
        <v>0.9947345000000001</v>
      </c>
      <c r="N14" s="2">
        <f>SUM('[2]PopSexeAge2006'!$E$40:$E$44)</f>
        <v>4314799</v>
      </c>
      <c r="O14" s="3">
        <f t="shared" si="3"/>
        <v>1.0885853547291542</v>
      </c>
    </row>
    <row r="15" spans="1:15" ht="12.75">
      <c r="A15" s="1">
        <v>35</v>
      </c>
      <c r="B15" s="2">
        <v>82316</v>
      </c>
      <c r="C15" s="2">
        <v>4710966</v>
      </c>
      <c r="D15" s="2">
        <v>57.23026</v>
      </c>
      <c r="E15" s="3">
        <v>0.4994615</v>
      </c>
      <c r="F15" s="3">
        <v>0.5005385</v>
      </c>
      <c r="G15" s="3">
        <v>0.7096003</v>
      </c>
      <c r="H15" s="3">
        <v>0.2841477</v>
      </c>
      <c r="I15" s="3">
        <v>0.0006826</v>
      </c>
      <c r="J15" s="3">
        <v>0.0055695</v>
      </c>
      <c r="K15" s="5">
        <f t="shared" si="0"/>
        <v>0.993748</v>
      </c>
      <c r="L15" s="5">
        <f t="shared" si="1"/>
        <v>0.0062521</v>
      </c>
      <c r="M15" s="3">
        <f t="shared" si="2"/>
        <v>0.9944305999999999</v>
      </c>
      <c r="N15" s="2">
        <f>SUM('[2]PopSexeAge2006'!$E$45:$E$49)</f>
        <v>4465000</v>
      </c>
      <c r="O15" s="3">
        <f t="shared" si="3"/>
        <v>1.0550875699888018</v>
      </c>
    </row>
    <row r="16" spans="1:15" ht="12.75">
      <c r="A16" s="1">
        <v>40</v>
      </c>
      <c r="B16" s="2">
        <v>98148</v>
      </c>
      <c r="C16" s="2">
        <v>4764615</v>
      </c>
      <c r="D16" s="2">
        <v>48.54521</v>
      </c>
      <c r="E16" s="3">
        <v>0.4949868</v>
      </c>
      <c r="F16" s="3">
        <v>0.5050132</v>
      </c>
      <c r="G16" s="3">
        <v>0.6932906</v>
      </c>
      <c r="H16" s="3">
        <v>0.3012387</v>
      </c>
      <c r="I16" s="3">
        <v>0.0005459</v>
      </c>
      <c r="J16" s="3">
        <v>0.0049249</v>
      </c>
      <c r="K16" s="5">
        <f t="shared" si="0"/>
        <v>0.9945293</v>
      </c>
      <c r="L16" s="5">
        <f t="shared" si="1"/>
        <v>0.0054708000000000005</v>
      </c>
      <c r="M16" s="3">
        <f t="shared" si="2"/>
        <v>0.9950751999999999</v>
      </c>
      <c r="N16" s="2">
        <f>SUM('[2]PopSexeAge2006'!$E$50:$E$54)</f>
        <v>4541649</v>
      </c>
      <c r="O16" s="3">
        <f t="shared" si="3"/>
        <v>1.0490936221623468</v>
      </c>
    </row>
    <row r="17" spans="1:15" ht="12.75">
      <c r="A17" s="1">
        <v>45</v>
      </c>
      <c r="B17" s="2">
        <v>94691</v>
      </c>
      <c r="C17" s="2">
        <v>4500008</v>
      </c>
      <c r="D17" s="2">
        <v>47.52308</v>
      </c>
      <c r="E17" s="3">
        <v>0.4965523</v>
      </c>
      <c r="F17" s="3">
        <v>0.5034477</v>
      </c>
      <c r="G17" s="3">
        <v>0.6824601</v>
      </c>
      <c r="H17" s="3">
        <v>0.3137827</v>
      </c>
      <c r="I17" s="3">
        <v>0.0004927</v>
      </c>
      <c r="J17" s="3">
        <v>0.0032645</v>
      </c>
      <c r="K17" s="5">
        <f t="shared" si="0"/>
        <v>0.9962428000000001</v>
      </c>
      <c r="L17" s="5">
        <f t="shared" si="1"/>
        <v>0.0037572</v>
      </c>
      <c r="M17" s="3">
        <f t="shared" si="2"/>
        <v>0.9967355000000001</v>
      </c>
      <c r="N17" s="2">
        <f>SUM('[2]PopSexeAge2006'!$E$55:$E$59)</f>
        <v>4374209</v>
      </c>
      <c r="O17" s="3">
        <f t="shared" si="3"/>
        <v>1.0287592568164896</v>
      </c>
    </row>
    <row r="18" spans="1:15" ht="12.75">
      <c r="A18" s="1">
        <v>50</v>
      </c>
      <c r="B18" s="2">
        <v>87692</v>
      </c>
      <c r="C18" s="2">
        <v>4380656</v>
      </c>
      <c r="D18" s="2">
        <v>49.95502</v>
      </c>
      <c r="E18" s="3">
        <v>0.4923816</v>
      </c>
      <c r="F18" s="3">
        <v>0.5076184</v>
      </c>
      <c r="G18" s="3">
        <v>0.6620487</v>
      </c>
      <c r="H18" s="3">
        <v>0.3349147</v>
      </c>
      <c r="I18" s="3">
        <v>0.0004463</v>
      </c>
      <c r="J18" s="3">
        <v>0.0025903</v>
      </c>
      <c r="K18" s="5">
        <f t="shared" si="0"/>
        <v>0.9969634</v>
      </c>
      <c r="L18" s="5">
        <f t="shared" si="1"/>
        <v>0.0030366</v>
      </c>
      <c r="M18" s="3">
        <f t="shared" si="2"/>
        <v>0.9974097000000001</v>
      </c>
      <c r="N18" s="2">
        <f>SUM('[2]PopSexeAge2006'!$E$60:$E$64)</f>
        <v>4255922</v>
      </c>
      <c r="O18" s="3">
        <f t="shared" si="3"/>
        <v>1.0293083378877714</v>
      </c>
    </row>
    <row r="19" spans="1:15" ht="12.75">
      <c r="A19" s="1">
        <v>55</v>
      </c>
      <c r="B19" s="2">
        <v>86283</v>
      </c>
      <c r="C19" s="2">
        <v>4300254</v>
      </c>
      <c r="D19" s="2">
        <v>49.83895</v>
      </c>
      <c r="E19" s="3">
        <v>0.4881858</v>
      </c>
      <c r="F19" s="3">
        <v>0.5118142</v>
      </c>
      <c r="G19" s="3">
        <v>0.6564929</v>
      </c>
      <c r="H19" s="3">
        <v>0.3412305</v>
      </c>
      <c r="I19" s="3">
        <v>0.000526</v>
      </c>
      <c r="J19" s="3">
        <v>0.0017505</v>
      </c>
      <c r="K19" s="5">
        <f t="shared" si="0"/>
        <v>0.9977234</v>
      </c>
      <c r="L19" s="5">
        <f t="shared" si="1"/>
        <v>0.0022765</v>
      </c>
      <c r="M19" s="3">
        <f t="shared" si="2"/>
        <v>0.9982494000000001</v>
      </c>
      <c r="N19" s="2">
        <f>SUM('[2]PopSexeAge2006'!$E$65:$E$69)</f>
        <v>4249383</v>
      </c>
      <c r="O19" s="3">
        <f t="shared" si="3"/>
        <v>1.0119713850222491</v>
      </c>
    </row>
    <row r="20" spans="1:15" ht="12.75">
      <c r="A20" s="1">
        <v>60</v>
      </c>
      <c r="B20" s="2">
        <v>53543</v>
      </c>
      <c r="C20" s="2">
        <v>2934933</v>
      </c>
      <c r="D20" s="2">
        <v>54.81451</v>
      </c>
      <c r="E20" s="3">
        <v>0.4839187</v>
      </c>
      <c r="F20" s="3">
        <v>0.5160813</v>
      </c>
      <c r="G20" s="3">
        <v>0.6570685</v>
      </c>
      <c r="H20" s="3">
        <v>0.3406745</v>
      </c>
      <c r="I20" s="3">
        <v>0.0008838</v>
      </c>
      <c r="J20" s="3">
        <v>0.0013732</v>
      </c>
      <c r="K20" s="5">
        <f t="shared" si="0"/>
        <v>0.997743</v>
      </c>
      <c r="L20" s="5">
        <f t="shared" si="1"/>
        <v>0.002257</v>
      </c>
      <c r="M20" s="3">
        <f t="shared" si="2"/>
        <v>0.9986268</v>
      </c>
      <c r="N20" s="2">
        <f>SUM('[2]PopSexeAge2006'!$E$70:$E$74)</f>
        <v>2827885</v>
      </c>
      <c r="O20" s="3">
        <f t="shared" si="3"/>
        <v>1.0378544389181315</v>
      </c>
    </row>
    <row r="21" spans="1:15" ht="12.75">
      <c r="A21" s="1">
        <v>65</v>
      </c>
      <c r="B21" s="2">
        <v>39465</v>
      </c>
      <c r="C21" s="2">
        <v>2646927</v>
      </c>
      <c r="D21" s="2">
        <v>67.07024</v>
      </c>
      <c r="E21" s="3">
        <v>0.4739913</v>
      </c>
      <c r="F21" s="3">
        <v>0.5260087</v>
      </c>
      <c r="G21" s="3">
        <v>0.6765881</v>
      </c>
      <c r="H21" s="3">
        <v>0.3217493</v>
      </c>
      <c r="I21" s="3">
        <v>0.0007588</v>
      </c>
      <c r="J21" s="3">
        <v>0.0009039</v>
      </c>
      <c r="K21" s="5">
        <f t="shared" si="0"/>
        <v>0.9983374</v>
      </c>
      <c r="L21" s="5">
        <f t="shared" si="1"/>
        <v>0.0016627</v>
      </c>
      <c r="M21" s="3">
        <f t="shared" si="2"/>
        <v>0.9990962</v>
      </c>
      <c r="N21" s="2">
        <f>SUM('[2]PopSexeAge2006'!$E$75:$E$79)</f>
        <v>2617682</v>
      </c>
      <c r="O21" s="3">
        <f t="shared" si="3"/>
        <v>1.0111720980623315</v>
      </c>
    </row>
    <row r="22" spans="1:15" ht="12.75">
      <c r="A22" s="1">
        <v>70</v>
      </c>
      <c r="B22" s="2">
        <v>35306</v>
      </c>
      <c r="C22" s="2">
        <v>2569754</v>
      </c>
      <c r="D22" s="2">
        <v>72.78519</v>
      </c>
      <c r="E22" s="3">
        <v>0.4429089</v>
      </c>
      <c r="F22" s="3">
        <v>0.5570911</v>
      </c>
      <c r="G22" s="3">
        <v>0.7060313</v>
      </c>
      <c r="H22" s="3">
        <v>0.292299</v>
      </c>
      <c r="I22" s="3">
        <v>0.0007367</v>
      </c>
      <c r="J22" s="3">
        <v>0.000933</v>
      </c>
      <c r="K22" s="5">
        <f t="shared" si="0"/>
        <v>0.9983303</v>
      </c>
      <c r="L22" s="5">
        <f t="shared" si="1"/>
        <v>0.0016697</v>
      </c>
      <c r="M22" s="3">
        <f t="shared" si="2"/>
        <v>0.999067</v>
      </c>
      <c r="N22" s="2">
        <f>SUM('[2]PopSexeAge2006'!$E$80:$E$84)</f>
        <v>2557359</v>
      </c>
      <c r="O22" s="3">
        <f t="shared" si="3"/>
        <v>1.0048467970277148</v>
      </c>
    </row>
    <row r="23" spans="1:15" ht="12.75">
      <c r="A23" s="1">
        <v>75</v>
      </c>
      <c r="B23" s="2">
        <v>32011</v>
      </c>
      <c r="C23" s="2">
        <v>2247478</v>
      </c>
      <c r="D23" s="2">
        <v>70.20956</v>
      </c>
      <c r="E23" s="3">
        <v>0.4089918</v>
      </c>
      <c r="F23" s="3">
        <v>0.5910082</v>
      </c>
      <c r="G23" s="3">
        <v>0.7630451</v>
      </c>
      <c r="H23" s="3">
        <v>0.2351997</v>
      </c>
      <c r="I23" s="3">
        <v>0.0008696</v>
      </c>
      <c r="J23" s="3">
        <v>0.0008856</v>
      </c>
      <c r="K23" s="5">
        <f t="shared" si="0"/>
        <v>0.9982448</v>
      </c>
      <c r="L23" s="5">
        <f t="shared" si="1"/>
        <v>0.0017552</v>
      </c>
      <c r="M23" s="3">
        <f t="shared" si="2"/>
        <v>0.9991144000000001</v>
      </c>
      <c r="N23" s="2">
        <f>SUM('[2]PopSexeAge2006'!$E$85:$E$89)</f>
        <v>2234207</v>
      </c>
      <c r="O23" s="3">
        <f t="shared" si="3"/>
        <v>1.005939915146627</v>
      </c>
    </row>
    <row r="24" spans="1:15" ht="12.75">
      <c r="A24" s="1">
        <v>80</v>
      </c>
      <c r="B24" s="2">
        <v>26821</v>
      </c>
      <c r="C24" s="2">
        <v>1701452</v>
      </c>
      <c r="D24" s="2">
        <v>63.43729</v>
      </c>
      <c r="E24" s="3">
        <v>0.3591418</v>
      </c>
      <c r="F24" s="3">
        <v>0.6408582</v>
      </c>
      <c r="G24" s="3">
        <v>0.8319071</v>
      </c>
      <c r="H24" s="3">
        <v>0.1662738</v>
      </c>
      <c r="I24" s="3">
        <v>0.0009096</v>
      </c>
      <c r="J24" s="3">
        <v>0.0009096</v>
      </c>
      <c r="K24" s="5">
        <f t="shared" si="0"/>
        <v>0.9981809</v>
      </c>
      <c r="L24" s="5">
        <f t="shared" si="1"/>
        <v>0.0018192</v>
      </c>
      <c r="M24" s="3">
        <f t="shared" si="2"/>
        <v>0.9990905</v>
      </c>
      <c r="N24" s="2">
        <f>SUM('[2]PopSexeAge2006'!$E$90:$E$94)</f>
        <v>1713243</v>
      </c>
      <c r="O24" s="3">
        <f t="shared" si="3"/>
        <v>0.9931177305262593</v>
      </c>
    </row>
    <row r="25" spans="1:15" ht="13.5" thickBot="1">
      <c r="A25" s="1">
        <v>85</v>
      </c>
      <c r="B25" s="2">
        <v>20791</v>
      </c>
      <c r="C25" s="2">
        <v>1187294</v>
      </c>
      <c r="D25" s="2">
        <v>57.10616</v>
      </c>
      <c r="E25" s="3">
        <v>0.2809655</v>
      </c>
      <c r="F25" s="3">
        <v>0.7190345</v>
      </c>
      <c r="G25" s="3">
        <v>0.9218079</v>
      </c>
      <c r="H25" s="3">
        <v>0.068746</v>
      </c>
      <c r="I25" s="3">
        <v>0.0047061</v>
      </c>
      <c r="J25" s="3">
        <v>0.00474</v>
      </c>
      <c r="K25" s="5">
        <f t="shared" si="0"/>
        <v>0.9905539</v>
      </c>
      <c r="L25" s="5">
        <f t="shared" si="1"/>
        <v>0.0094461</v>
      </c>
      <c r="M25" s="3">
        <f t="shared" si="2"/>
        <v>0.99526</v>
      </c>
      <c r="N25" s="2">
        <f>SUM('[2]PopSexeAge2006'!$E$95:$E$110)</f>
        <v>1211752</v>
      </c>
      <c r="O25" s="3">
        <f t="shared" si="3"/>
        <v>0.9798160019541953</v>
      </c>
    </row>
    <row r="26" spans="1:15" ht="13.5" thickBot="1">
      <c r="A26" s="73" t="s">
        <v>11</v>
      </c>
      <c r="B26" s="71">
        <f>SUM(B7:B25)</f>
        <v>1193508</v>
      </c>
      <c r="C26" s="71">
        <f>SUM(C7:C25)</f>
        <v>66390100</v>
      </c>
      <c r="D26" s="74">
        <f>C26/B26</f>
        <v>55.62602010208562</v>
      </c>
      <c r="E26" s="8">
        <f aca="true" t="shared" si="4" ref="E26:M26">SUMPRODUCT($C7:$C25,E7:E25)/SUM($C7:$C25)</f>
        <v>0.4863008009419235</v>
      </c>
      <c r="F26" s="8">
        <f t="shared" si="4"/>
        <v>0.5136991990580765</v>
      </c>
      <c r="G26" s="8">
        <f t="shared" si="4"/>
        <v>0.5347851159190723</v>
      </c>
      <c r="H26" s="8">
        <f t="shared" si="4"/>
        <v>0.19275921688205122</v>
      </c>
      <c r="I26" s="8">
        <f t="shared" si="4"/>
        <v>0.028777194594203054</v>
      </c>
      <c r="J26" s="8">
        <f t="shared" si="4"/>
        <v>0.24367848758037725</v>
      </c>
      <c r="K26" s="8">
        <f t="shared" si="4"/>
        <v>0.7275443328011235</v>
      </c>
      <c r="L26" s="8">
        <f t="shared" si="4"/>
        <v>0.27245568217458016</v>
      </c>
      <c r="M26" s="8">
        <f t="shared" si="4"/>
        <v>0.7563215273953265</v>
      </c>
      <c r="N26" s="71">
        <f>SUM(N7:N25)</f>
        <v>64015469</v>
      </c>
      <c r="O26" s="70">
        <f>C26/N26</f>
        <v>1.0370946434837491</v>
      </c>
    </row>
    <row r="27" spans="1:15" ht="13.5" thickBot="1">
      <c r="A27" s="73"/>
      <c r="B27" s="71"/>
      <c r="C27" s="71"/>
      <c r="D27" s="74"/>
      <c r="E27" s="9">
        <f aca="true" t="shared" si="5" ref="E27:M27">E26*$C26</f>
        <v>32285558.804614395</v>
      </c>
      <c r="F27" s="9">
        <f t="shared" si="5"/>
        <v>34104541.195385605</v>
      </c>
      <c r="G27" s="9">
        <f t="shared" si="5"/>
        <v>35504437.3243788</v>
      </c>
      <c r="H27" s="9">
        <f t="shared" si="5"/>
        <v>12797303.68472107</v>
      </c>
      <c r="I27" s="9">
        <f t="shared" si="5"/>
        <v>1910520.8268286001</v>
      </c>
      <c r="J27" s="9">
        <f t="shared" si="5"/>
        <v>16177839.158310004</v>
      </c>
      <c r="K27" s="9">
        <f t="shared" si="5"/>
        <v>48301741.00909987</v>
      </c>
      <c r="L27" s="9">
        <f t="shared" si="5"/>
        <v>18088359.985138595</v>
      </c>
      <c r="M27" s="9">
        <f t="shared" si="5"/>
        <v>50212261.83592847</v>
      </c>
      <c r="N27" s="71"/>
      <c r="O27" s="70"/>
    </row>
    <row r="28" spans="1:15" ht="13.5" thickBot="1">
      <c r="A28" s="73" t="s">
        <v>12</v>
      </c>
      <c r="B28" s="71">
        <f>SUM(B11:B25)</f>
        <v>842199</v>
      </c>
      <c r="C28" s="71">
        <f>SUM(C11:C25)</f>
        <v>50348763</v>
      </c>
      <c r="D28" s="74">
        <f>C28/B28</f>
        <v>59.782501522799244</v>
      </c>
      <c r="E28" s="8">
        <f aca="true" t="shared" si="6" ref="E28:M28">SUMPRODUCT($C11:$C25,E11:E25)/SUM($C11:$C25)</f>
        <v>0.4816219584559604</v>
      </c>
      <c r="F28" s="8">
        <f t="shared" si="6"/>
        <v>0.5183780415440397</v>
      </c>
      <c r="G28" s="8">
        <f t="shared" si="6"/>
        <v>0.7042689914560702</v>
      </c>
      <c r="H28" s="8">
        <f t="shared" si="6"/>
        <v>0.2541205589590016</v>
      </c>
      <c r="I28" s="8">
        <f t="shared" si="6"/>
        <v>0.03746704755826871</v>
      </c>
      <c r="J28" s="8">
        <f t="shared" si="6"/>
        <v>0.004143420942131189</v>
      </c>
      <c r="K28" s="8">
        <f t="shared" si="6"/>
        <v>0.9583895504150719</v>
      </c>
      <c r="L28" s="8">
        <f t="shared" si="6"/>
        <v>0.0416104685003999</v>
      </c>
      <c r="M28" s="8">
        <f t="shared" si="6"/>
        <v>0.9958565979733404</v>
      </c>
      <c r="N28" s="71">
        <f>SUM(N11:N25)</f>
        <v>48976801</v>
      </c>
      <c r="O28" s="70">
        <f>C28/N28</f>
        <v>1.0280124869731693</v>
      </c>
    </row>
    <row r="29" spans="1:15" ht="13.5" thickBot="1">
      <c r="A29" s="73"/>
      <c r="B29" s="71"/>
      <c r="C29" s="71"/>
      <c r="D29" s="74"/>
      <c r="E29" s="9">
        <f aca="true" t="shared" si="7" ref="E29:M29">E28*$C28</f>
        <v>24249069.841894995</v>
      </c>
      <c r="F29" s="9">
        <f t="shared" si="7"/>
        <v>26099693.15810501</v>
      </c>
      <c r="G29" s="9">
        <f t="shared" si="7"/>
        <v>35459072.5390707</v>
      </c>
      <c r="H29" s="9">
        <f t="shared" si="7"/>
        <v>12794655.796454297</v>
      </c>
      <c r="I29" s="9">
        <f t="shared" si="7"/>
        <v>1886419.4978210002</v>
      </c>
      <c r="J29" s="9">
        <f t="shared" si="7"/>
        <v>208616.11902459996</v>
      </c>
      <c r="K29" s="9">
        <f t="shared" si="7"/>
        <v>48253728.335525006</v>
      </c>
      <c r="L29" s="9">
        <f t="shared" si="7"/>
        <v>2095035.6168455998</v>
      </c>
      <c r="M29" s="9">
        <f t="shared" si="7"/>
        <v>50140147.833345994</v>
      </c>
      <c r="N29" s="71"/>
      <c r="O29" s="70"/>
    </row>
    <row r="30" spans="1:14" ht="13.5" thickBot="1">
      <c r="A30" s="73" t="s">
        <v>13</v>
      </c>
      <c r="B30" s="71"/>
      <c r="C30" s="71">
        <f>G31+H31+I31+J31</f>
        <v>66593931.99999999</v>
      </c>
      <c r="D30" s="74"/>
      <c r="E30" s="8"/>
      <c r="F30" s="8"/>
      <c r="G30" s="8">
        <f aca="true" t="shared" si="8" ref="G30:M30">G31/$C30</f>
        <v>0.5350915605944397</v>
      </c>
      <c r="H30" s="8">
        <f t="shared" si="8"/>
        <v>0.1926185256638698</v>
      </c>
      <c r="I30" s="8">
        <f t="shared" si="8"/>
        <v>0.029036053915542936</v>
      </c>
      <c r="J30" s="8">
        <f t="shared" si="8"/>
        <v>0.24325385982614756</v>
      </c>
      <c r="K30" s="8">
        <f t="shared" si="8"/>
        <v>0.7277100862583095</v>
      </c>
      <c r="L30" s="8">
        <f t="shared" si="8"/>
        <v>0.2722899137416905</v>
      </c>
      <c r="M30" s="8">
        <f t="shared" si="8"/>
        <v>0.7567461401738524</v>
      </c>
      <c r="N30" s="71"/>
    </row>
    <row r="31" spans="1:14" ht="13.5" thickBot="1">
      <c r="A31" s="73"/>
      <c r="B31" s="71"/>
      <c r="C31" s="71"/>
      <c r="D31" s="74"/>
      <c r="E31" s="9"/>
      <c r="F31" s="9"/>
      <c r="G31" s="9">
        <f>1000*'[1]Dénombrements2042(2005-2008)'!B$5</f>
        <v>35633850.99999999</v>
      </c>
      <c r="H31" s="9">
        <f>1000*'[1]Dénombrements2042(2005-2008)'!C$5</f>
        <v>12827225</v>
      </c>
      <c r="I31" s="9">
        <f>1000*'[1]Dénombrements2042(2005-2008)'!D$5</f>
        <v>1933624.9999999998</v>
      </c>
      <c r="J31" s="9">
        <f>1000*'[1]Dénombrements2042(2005-2008)'!$F$5</f>
        <v>16199231</v>
      </c>
      <c r="K31" s="9">
        <f>G31+H31</f>
        <v>48461075.99999999</v>
      </c>
      <c r="L31" s="9">
        <f>I31+J31</f>
        <v>18132856</v>
      </c>
      <c r="M31" s="9">
        <f>G31+H31+I31</f>
        <v>50394700.99999999</v>
      </c>
      <c r="N31" s="72"/>
    </row>
    <row r="32" spans="1:13" ht="13.5" thickBot="1">
      <c r="A32" s="73" t="s">
        <v>31</v>
      </c>
      <c r="B32" s="71"/>
      <c r="C32" s="70">
        <f>C30/C26</f>
        <v>1.0030702167943712</v>
      </c>
      <c r="D32" s="74"/>
      <c r="E32" s="8"/>
      <c r="F32" s="8"/>
      <c r="G32" s="70">
        <f aca="true" t="shared" si="9" ref="G32:M32">G31/G27</f>
        <v>1.0036450000443276</v>
      </c>
      <c r="H32" s="70">
        <f t="shared" si="9"/>
        <v>1.0023380952750738</v>
      </c>
      <c r="I32" s="70">
        <f t="shared" si="9"/>
        <v>1.0120931281391743</v>
      </c>
      <c r="J32" s="70">
        <f t="shared" si="9"/>
        <v>1.0013222928897156</v>
      </c>
      <c r="K32" s="70">
        <f t="shared" si="9"/>
        <v>1.003298742189647</v>
      </c>
      <c r="L32" s="70">
        <f t="shared" si="9"/>
        <v>1.0024599253275566</v>
      </c>
      <c r="M32" s="70">
        <f t="shared" si="9"/>
        <v>1.003633358813185</v>
      </c>
    </row>
    <row r="33" spans="1:13" ht="13.5" thickBot="1">
      <c r="A33" s="73"/>
      <c r="B33" s="71"/>
      <c r="C33" s="70"/>
      <c r="D33" s="74"/>
      <c r="E33" s="9"/>
      <c r="F33" s="9"/>
      <c r="G33" s="70"/>
      <c r="H33" s="70"/>
      <c r="I33" s="70"/>
      <c r="J33" s="70"/>
      <c r="K33" s="70"/>
      <c r="L33" s="70"/>
      <c r="M33" s="70"/>
    </row>
    <row r="34" spans="1:9" ht="12.75">
      <c r="A34" s="22"/>
      <c r="B34" s="23"/>
      <c r="C34" s="23"/>
      <c r="D34" s="24"/>
      <c r="E34" s="25"/>
      <c r="F34" s="25"/>
      <c r="G34" s="25"/>
      <c r="H34" s="25"/>
      <c r="I34" s="25"/>
    </row>
    <row r="36" spans="1:14" ht="12.75">
      <c r="A36" s="6" t="s">
        <v>7</v>
      </c>
      <c r="B36" s="6" t="s">
        <v>5</v>
      </c>
      <c r="C36" s="6" t="s">
        <v>1</v>
      </c>
      <c r="D36" s="6" t="s">
        <v>6</v>
      </c>
      <c r="E36" s="6" t="s">
        <v>2</v>
      </c>
      <c r="F36" s="6" t="s">
        <v>3</v>
      </c>
      <c r="G36" s="6" t="s">
        <v>9</v>
      </c>
      <c r="H36" s="6" t="s">
        <v>10</v>
      </c>
      <c r="I36" s="6" t="s">
        <v>4</v>
      </c>
      <c r="J36" s="6" t="s">
        <v>32</v>
      </c>
      <c r="K36" s="6" t="s">
        <v>33</v>
      </c>
      <c r="L36" s="6" t="s">
        <v>34</v>
      </c>
      <c r="M36" s="32" t="s">
        <v>47</v>
      </c>
      <c r="N36" s="32" t="s">
        <v>48</v>
      </c>
    </row>
    <row r="37" spans="1:14" ht="12.75">
      <c r="A37" s="1">
        <v>15</v>
      </c>
      <c r="B37" s="2">
        <v>21123</v>
      </c>
      <c r="C37" s="2">
        <v>859030.4</v>
      </c>
      <c r="D37" s="2">
        <v>40.66801</v>
      </c>
      <c r="E37" s="3">
        <v>0.5049646</v>
      </c>
      <c r="F37" s="3">
        <v>0.4950354</v>
      </c>
      <c r="G37" s="3">
        <v>0.0005183</v>
      </c>
      <c r="H37" s="3">
        <v>0</v>
      </c>
      <c r="I37" s="3">
        <v>0.0007102</v>
      </c>
      <c r="J37" s="3">
        <v>0.9987715</v>
      </c>
      <c r="K37" s="5">
        <f>G37+H37</f>
        <v>0.0005183</v>
      </c>
      <c r="L37" s="5">
        <f>I37+J37</f>
        <v>0.9994817</v>
      </c>
      <c r="M37" s="2">
        <f>'[2]PopSexeAge2006'!$E25</f>
        <v>820788</v>
      </c>
      <c r="N37" s="5">
        <f>C37/M37</f>
        <v>1.0465922991076868</v>
      </c>
    </row>
    <row r="38" spans="1:14" ht="12.75">
      <c r="A38" s="1">
        <v>16</v>
      </c>
      <c r="B38" s="2">
        <v>21151</v>
      </c>
      <c r="C38" s="2">
        <v>884163.7</v>
      </c>
      <c r="D38" s="2">
        <v>41.80245</v>
      </c>
      <c r="E38" s="3">
        <v>0.5125872</v>
      </c>
      <c r="F38" s="3">
        <v>0.4874128</v>
      </c>
      <c r="G38" s="3">
        <v>0.0047234</v>
      </c>
      <c r="H38" s="3">
        <v>0.0003507</v>
      </c>
      <c r="I38" s="3">
        <v>0.0035869</v>
      </c>
      <c r="J38" s="3">
        <v>0.991339</v>
      </c>
      <c r="K38" s="5">
        <f aca="true" t="shared" si="10" ref="K38:K55">G38+H38</f>
        <v>0.0050741</v>
      </c>
      <c r="L38" s="5">
        <f aca="true" t="shared" si="11" ref="L38:L55">I38+J38</f>
        <v>0.9949258999999999</v>
      </c>
      <c r="M38" s="2">
        <f>'[2]PopSexeAge2006'!$E26</f>
        <v>832210</v>
      </c>
      <c r="N38" s="5">
        <f aca="true" t="shared" si="12" ref="N38:N56">C38/M38</f>
        <v>1.0624285937443674</v>
      </c>
    </row>
    <row r="39" spans="1:14" ht="12.75">
      <c r="A39" s="1">
        <v>17</v>
      </c>
      <c r="B39" s="2">
        <v>20517</v>
      </c>
      <c r="C39" s="2">
        <v>885639</v>
      </c>
      <c r="D39" s="2">
        <v>43.16611</v>
      </c>
      <c r="E39" s="3">
        <v>0.5068544</v>
      </c>
      <c r="F39" s="3">
        <v>0.4931456</v>
      </c>
      <c r="G39" s="3">
        <v>0.0451716</v>
      </c>
      <c r="H39" s="3">
        <v>0.0021788</v>
      </c>
      <c r="I39" s="3">
        <v>0.0121131</v>
      </c>
      <c r="J39" s="3">
        <v>0.9405365</v>
      </c>
      <c r="K39" s="5">
        <f t="shared" si="10"/>
        <v>0.0473504</v>
      </c>
      <c r="L39" s="5">
        <f t="shared" si="11"/>
        <v>0.9526496</v>
      </c>
      <c r="M39" s="2">
        <f>'[2]PopSexeAge2006'!$E27</f>
        <v>840368</v>
      </c>
      <c r="N39" s="5">
        <f t="shared" si="12"/>
        <v>1.053870447232641</v>
      </c>
    </row>
    <row r="40" spans="1:14" ht="12.75">
      <c r="A40" s="1">
        <v>18</v>
      </c>
      <c r="B40" s="2">
        <v>13363</v>
      </c>
      <c r="C40" s="2">
        <v>587081.8</v>
      </c>
      <c r="D40" s="2">
        <v>43.93338</v>
      </c>
      <c r="E40" s="3">
        <v>0.5234349</v>
      </c>
      <c r="F40" s="3">
        <v>0.4765651</v>
      </c>
      <c r="G40" s="3">
        <v>0.2546399</v>
      </c>
      <c r="H40" s="3">
        <v>0.0105224</v>
      </c>
      <c r="I40" s="3">
        <v>0.7102517</v>
      </c>
      <c r="J40" s="3">
        <v>0.0245861</v>
      </c>
      <c r="K40" s="5">
        <f t="shared" si="10"/>
        <v>0.26516229999999996</v>
      </c>
      <c r="L40" s="5">
        <f t="shared" si="11"/>
        <v>0.7348378</v>
      </c>
      <c r="M40" s="2">
        <f>'[2]PopSexeAge2006'!$E28</f>
        <v>835406</v>
      </c>
      <c r="N40" s="5">
        <f t="shared" si="12"/>
        <v>0.7027502795048157</v>
      </c>
    </row>
    <row r="41" spans="1:14" ht="12.75">
      <c r="A41" s="1">
        <v>19</v>
      </c>
      <c r="B41" s="2">
        <v>19296</v>
      </c>
      <c r="C41" s="2">
        <v>870786.3</v>
      </c>
      <c r="D41" s="2">
        <v>45.12781</v>
      </c>
      <c r="E41" s="3">
        <v>0.5131674</v>
      </c>
      <c r="F41" s="3">
        <v>0.4868326</v>
      </c>
      <c r="G41" s="3">
        <v>0.3057435</v>
      </c>
      <c r="H41" s="3">
        <v>0.0143829</v>
      </c>
      <c r="I41" s="3">
        <v>0.6690765</v>
      </c>
      <c r="J41" s="3">
        <v>0.0107971</v>
      </c>
      <c r="K41" s="5">
        <f t="shared" si="10"/>
        <v>0.3201264</v>
      </c>
      <c r="L41" s="5">
        <f t="shared" si="11"/>
        <v>0.6798736</v>
      </c>
      <c r="M41" s="2">
        <f>'[2]PopSexeAge2006'!$E29</f>
        <v>843031</v>
      </c>
      <c r="N41" s="5">
        <f t="shared" si="12"/>
        <v>1.032923225836298</v>
      </c>
    </row>
    <row r="42" spans="1:14" ht="12.75">
      <c r="A42" s="1">
        <v>20</v>
      </c>
      <c r="B42" s="2">
        <v>16376</v>
      </c>
      <c r="C42" s="2">
        <v>821955.1</v>
      </c>
      <c r="D42" s="2">
        <v>50.19267</v>
      </c>
      <c r="E42" s="3">
        <v>0.5056846</v>
      </c>
      <c r="F42" s="3">
        <v>0.4943155</v>
      </c>
      <c r="G42" s="3">
        <v>0.4764231</v>
      </c>
      <c r="H42" s="3">
        <v>0.0243632</v>
      </c>
      <c r="I42" s="3">
        <v>0.4882407</v>
      </c>
      <c r="J42" s="3">
        <v>0.0109731</v>
      </c>
      <c r="K42" s="5">
        <f t="shared" si="10"/>
        <v>0.5007863</v>
      </c>
      <c r="L42" s="5">
        <f t="shared" si="11"/>
        <v>0.49921380000000004</v>
      </c>
      <c r="M42" s="2">
        <f>'[2]PopSexeAge2006'!$E30</f>
        <v>825335</v>
      </c>
      <c r="N42" s="5">
        <f t="shared" si="12"/>
        <v>0.9959048144086946</v>
      </c>
    </row>
    <row r="43" spans="1:14" ht="12.75">
      <c r="A43" s="1">
        <v>21</v>
      </c>
      <c r="B43" s="2">
        <v>13453</v>
      </c>
      <c r="C43" s="2">
        <v>762912.7</v>
      </c>
      <c r="D43" s="2">
        <v>56.70948</v>
      </c>
      <c r="E43" s="3">
        <v>0.510719</v>
      </c>
      <c r="F43" s="3">
        <v>0.489281</v>
      </c>
      <c r="G43" s="3">
        <v>0.6439879</v>
      </c>
      <c r="H43" s="3">
        <v>0.0393826</v>
      </c>
      <c r="I43" s="3">
        <v>0.3054487</v>
      </c>
      <c r="J43" s="3">
        <v>0.0111808</v>
      </c>
      <c r="K43" s="5">
        <f t="shared" si="10"/>
        <v>0.6833705</v>
      </c>
      <c r="L43" s="5">
        <f t="shared" si="11"/>
        <v>0.3166295</v>
      </c>
      <c r="M43" s="2">
        <f>'[2]PopSexeAge2006'!$E31</f>
        <v>800342</v>
      </c>
      <c r="N43" s="5">
        <f t="shared" si="12"/>
        <v>0.9532333677352931</v>
      </c>
    </row>
    <row r="44" spans="1:14" ht="12.75">
      <c r="A44" s="1">
        <v>22</v>
      </c>
      <c r="B44" s="2">
        <v>10526</v>
      </c>
      <c r="C44" s="2">
        <v>732491</v>
      </c>
      <c r="D44" s="2">
        <v>69.58873</v>
      </c>
      <c r="E44" s="3">
        <v>0.5140985</v>
      </c>
      <c r="F44" s="3">
        <v>0.4859015</v>
      </c>
      <c r="G44" s="3">
        <v>0.7731929</v>
      </c>
      <c r="H44" s="3">
        <v>0.0579945</v>
      </c>
      <c r="I44" s="3">
        <v>0.1606705</v>
      </c>
      <c r="J44" s="3">
        <v>0.008142</v>
      </c>
      <c r="K44" s="5">
        <f t="shared" si="10"/>
        <v>0.8311873999999999</v>
      </c>
      <c r="L44" s="5">
        <f t="shared" si="11"/>
        <v>0.1688125</v>
      </c>
      <c r="M44" s="2">
        <f>'[2]PopSexeAge2006'!$E32</f>
        <v>778799</v>
      </c>
      <c r="N44" s="5">
        <f t="shared" si="12"/>
        <v>0.9405392148680212</v>
      </c>
    </row>
    <row r="45" spans="1:14" ht="12.75">
      <c r="A45" s="1">
        <v>23</v>
      </c>
      <c r="B45" s="2">
        <v>8808</v>
      </c>
      <c r="C45" s="2">
        <v>820070.8</v>
      </c>
      <c r="D45" s="2">
        <v>93.10522</v>
      </c>
      <c r="E45" s="3">
        <v>0.5064523</v>
      </c>
      <c r="F45" s="3">
        <v>0.4935477</v>
      </c>
      <c r="G45" s="3">
        <v>0.833872</v>
      </c>
      <c r="H45" s="3">
        <v>0.0818469</v>
      </c>
      <c r="I45" s="3">
        <v>0.0777055</v>
      </c>
      <c r="J45" s="3">
        <v>0.0065757</v>
      </c>
      <c r="K45" s="5">
        <f t="shared" si="10"/>
        <v>0.9157188999999999</v>
      </c>
      <c r="L45" s="5">
        <f t="shared" si="11"/>
        <v>0.0842812</v>
      </c>
      <c r="M45" s="2">
        <f>'[2]PopSexeAge2006'!$E33</f>
        <v>819351</v>
      </c>
      <c r="N45" s="5">
        <f t="shared" si="12"/>
        <v>1.0008785001788</v>
      </c>
    </row>
    <row r="46" spans="1:14" ht="12.75">
      <c r="A46" s="1">
        <v>24</v>
      </c>
      <c r="B46" s="2">
        <v>7534</v>
      </c>
      <c r="C46" s="2">
        <v>862957</v>
      </c>
      <c r="D46" s="2">
        <v>114.5417</v>
      </c>
      <c r="E46" s="3">
        <v>0.4942113</v>
      </c>
      <c r="F46" s="3">
        <v>0.5057887</v>
      </c>
      <c r="G46" s="3">
        <v>0.845427</v>
      </c>
      <c r="H46" s="3">
        <v>0.1108056</v>
      </c>
      <c r="I46" s="3">
        <v>0.0378534</v>
      </c>
      <c r="J46" s="3">
        <v>0.005914</v>
      </c>
      <c r="K46" s="5">
        <f t="shared" si="10"/>
        <v>0.9562326000000001</v>
      </c>
      <c r="L46" s="5">
        <f t="shared" si="11"/>
        <v>0.043767400000000005</v>
      </c>
      <c r="M46" s="2">
        <f>'[2]PopSexeAge2006'!$E34</f>
        <v>821101</v>
      </c>
      <c r="N46" s="5">
        <f t="shared" si="12"/>
        <v>1.050975458561127</v>
      </c>
    </row>
    <row r="47" spans="1:14" ht="12.75">
      <c r="A47" s="1">
        <v>25</v>
      </c>
      <c r="B47" s="2">
        <v>6730</v>
      </c>
      <c r="C47" s="2">
        <v>890824.9</v>
      </c>
      <c r="D47" s="2">
        <v>132.3663</v>
      </c>
      <c r="E47" s="3">
        <v>0.5133309</v>
      </c>
      <c r="F47" s="3">
        <v>0.4866691</v>
      </c>
      <c r="G47" s="3">
        <v>0.8498974</v>
      </c>
      <c r="H47" s="3">
        <v>0.1375011</v>
      </c>
      <c r="I47" s="3">
        <v>0.0056102</v>
      </c>
      <c r="J47" s="3">
        <v>0.0069913</v>
      </c>
      <c r="K47" s="5">
        <f t="shared" si="10"/>
        <v>0.9873985000000001</v>
      </c>
      <c r="L47" s="5">
        <f t="shared" si="11"/>
        <v>0.0126015</v>
      </c>
      <c r="M47" s="2">
        <f>'[2]PopSexeAge2006'!$E35</f>
        <v>825585</v>
      </c>
      <c r="N47" s="5">
        <f t="shared" si="12"/>
        <v>1.0790226324363936</v>
      </c>
    </row>
    <row r="48" spans="1:14" ht="12.75">
      <c r="A48" s="1">
        <v>26</v>
      </c>
      <c r="B48" s="2">
        <v>6750</v>
      </c>
      <c r="C48" s="2">
        <v>856910.6</v>
      </c>
      <c r="D48" s="2">
        <v>126.9497</v>
      </c>
      <c r="E48" s="3">
        <v>0.5068938</v>
      </c>
      <c r="F48" s="3">
        <v>0.4931062</v>
      </c>
      <c r="G48" s="3">
        <v>0.83658</v>
      </c>
      <c r="H48" s="3">
        <v>0.1570894</v>
      </c>
      <c r="I48" s="3">
        <v>0.0009157</v>
      </c>
      <c r="J48" s="3">
        <v>0.0054149</v>
      </c>
      <c r="K48" s="5">
        <f t="shared" si="10"/>
        <v>0.9936693999999999</v>
      </c>
      <c r="L48" s="5">
        <f t="shared" si="11"/>
        <v>0.0063306000000000005</v>
      </c>
      <c r="M48" s="2">
        <f>'[2]PopSexeAge2006'!$E36</f>
        <v>776367</v>
      </c>
      <c r="N48" s="5">
        <f t="shared" si="12"/>
        <v>1.1037442343633874</v>
      </c>
    </row>
    <row r="49" spans="1:14" ht="12.75">
      <c r="A49" s="1">
        <v>27</v>
      </c>
      <c r="B49" s="2">
        <v>7074</v>
      </c>
      <c r="C49" s="2">
        <v>846797.6</v>
      </c>
      <c r="D49" s="2">
        <v>119.7056</v>
      </c>
      <c r="E49" s="3">
        <v>0.5185185</v>
      </c>
      <c r="F49" s="3">
        <v>0.4814815</v>
      </c>
      <c r="G49" s="3">
        <v>0.8283122</v>
      </c>
      <c r="H49" s="3">
        <v>0.1654482</v>
      </c>
      <c r="I49" s="3">
        <v>0.0004131</v>
      </c>
      <c r="J49" s="3">
        <v>0.0058266</v>
      </c>
      <c r="K49" s="5">
        <f t="shared" si="10"/>
        <v>0.9937604</v>
      </c>
      <c r="L49" s="5">
        <f t="shared" si="11"/>
        <v>0.006239700000000001</v>
      </c>
      <c r="M49" s="2">
        <f>'[2]PopSexeAge2006'!$E37</f>
        <v>760655</v>
      </c>
      <c r="N49" s="5">
        <f t="shared" si="12"/>
        <v>1.1132479244861335</v>
      </c>
    </row>
    <row r="50" spans="1:14" ht="12.75">
      <c r="A50" s="1">
        <v>28</v>
      </c>
      <c r="B50" s="2">
        <v>7666</v>
      </c>
      <c r="C50" s="2">
        <v>832013.5</v>
      </c>
      <c r="D50" s="2">
        <v>108.5329</v>
      </c>
      <c r="E50" s="3">
        <v>0.518622</v>
      </c>
      <c r="F50" s="3">
        <v>0.481378</v>
      </c>
      <c r="G50" s="3">
        <v>0.7986087</v>
      </c>
      <c r="H50" s="3">
        <v>0.1947663</v>
      </c>
      <c r="I50" s="3">
        <v>0.0011795</v>
      </c>
      <c r="J50" s="3">
        <v>0.0054456</v>
      </c>
      <c r="K50" s="5">
        <f t="shared" si="10"/>
        <v>0.9933749999999999</v>
      </c>
      <c r="L50" s="5">
        <f t="shared" si="11"/>
        <v>0.0066251</v>
      </c>
      <c r="M50" s="2">
        <f>'[2]PopSexeAge2006'!$E38</f>
        <v>771817</v>
      </c>
      <c r="N50" s="5">
        <f t="shared" si="12"/>
        <v>1.077993228964897</v>
      </c>
    </row>
    <row r="51" spans="1:14" ht="12.75">
      <c r="A51" s="1">
        <v>29</v>
      </c>
      <c r="B51" s="2">
        <v>8196</v>
      </c>
      <c r="C51" s="2">
        <v>822597</v>
      </c>
      <c r="D51" s="2">
        <v>100.3657</v>
      </c>
      <c r="E51" s="3">
        <v>0.5074121</v>
      </c>
      <c r="F51" s="3">
        <v>0.4925879</v>
      </c>
      <c r="G51" s="3">
        <v>0.7751519</v>
      </c>
      <c r="H51" s="3">
        <v>0.2181043</v>
      </c>
      <c r="I51" s="3">
        <v>0.001332</v>
      </c>
      <c r="J51" s="3">
        <v>0.0054118</v>
      </c>
      <c r="K51" s="5">
        <f t="shared" si="10"/>
        <v>0.9932562</v>
      </c>
      <c r="L51" s="5">
        <f t="shared" si="11"/>
        <v>0.0067437999999999994</v>
      </c>
      <c r="M51" s="2">
        <f>'[2]PopSexeAge2006'!$E39</f>
        <v>755922</v>
      </c>
      <c r="N51" s="5">
        <f t="shared" si="12"/>
        <v>1.0882035448101788</v>
      </c>
    </row>
    <row r="52" spans="1:14" ht="12.75">
      <c r="A52" s="1">
        <v>30</v>
      </c>
      <c r="B52" s="2">
        <v>9197</v>
      </c>
      <c r="C52" s="2">
        <v>864776.3</v>
      </c>
      <c r="D52" s="2">
        <v>94.02809</v>
      </c>
      <c r="E52" s="3">
        <v>0.5270798</v>
      </c>
      <c r="F52" s="3">
        <v>0.4729201</v>
      </c>
      <c r="G52" s="3">
        <v>0.768733</v>
      </c>
      <c r="H52" s="3">
        <v>0.2246885</v>
      </c>
      <c r="I52" s="3">
        <v>0.001109</v>
      </c>
      <c r="J52" s="3">
        <v>0.0054695</v>
      </c>
      <c r="K52" s="5">
        <f t="shared" si="10"/>
        <v>0.9934215</v>
      </c>
      <c r="L52" s="5">
        <f t="shared" si="11"/>
        <v>0.0065785</v>
      </c>
      <c r="M52" s="2">
        <f>'[2]PopSexeAge2006'!$E40</f>
        <v>780510</v>
      </c>
      <c r="N52" s="5">
        <f t="shared" si="12"/>
        <v>1.1079631266735852</v>
      </c>
    </row>
    <row r="53" spans="1:14" ht="12.75">
      <c r="A53" s="1">
        <v>31</v>
      </c>
      <c r="B53" s="2">
        <v>10517</v>
      </c>
      <c r="C53" s="2">
        <v>917232.1</v>
      </c>
      <c r="D53" s="2">
        <v>87.21423</v>
      </c>
      <c r="E53" s="3">
        <v>0.5103429</v>
      </c>
      <c r="F53" s="3">
        <v>0.4896571</v>
      </c>
      <c r="G53" s="3">
        <v>0.7545441</v>
      </c>
      <c r="H53" s="3">
        <v>0.2411345</v>
      </c>
      <c r="I53" s="3">
        <v>5.9E-05</v>
      </c>
      <c r="J53" s="3">
        <v>0.0042624</v>
      </c>
      <c r="K53" s="5">
        <f t="shared" si="10"/>
        <v>0.9956786000000001</v>
      </c>
      <c r="L53" s="5">
        <f t="shared" si="11"/>
        <v>0.0043214</v>
      </c>
      <c r="M53" s="2">
        <f>'[2]PopSexeAge2006'!$E41</f>
        <v>830120</v>
      </c>
      <c r="N53" s="5">
        <f t="shared" si="12"/>
        <v>1.1049391654218668</v>
      </c>
    </row>
    <row r="54" spans="1:14" ht="12.75">
      <c r="A54" s="1">
        <v>32</v>
      </c>
      <c r="B54" s="2">
        <v>12109</v>
      </c>
      <c r="C54" s="2">
        <v>965705.6</v>
      </c>
      <c r="D54" s="2">
        <v>79.75106</v>
      </c>
      <c r="E54" s="3">
        <v>0.5047414</v>
      </c>
      <c r="F54" s="3">
        <v>0.4952586</v>
      </c>
      <c r="G54" s="3">
        <v>0.7365003</v>
      </c>
      <c r="H54" s="3">
        <v>0.2556988</v>
      </c>
      <c r="I54" s="3">
        <v>0.0006435</v>
      </c>
      <c r="J54" s="3">
        <v>0.0071574</v>
      </c>
      <c r="K54" s="5">
        <f t="shared" si="10"/>
        <v>0.9921991</v>
      </c>
      <c r="L54" s="5">
        <f t="shared" si="11"/>
        <v>0.0078009</v>
      </c>
      <c r="M54" s="2">
        <f>'[2]PopSexeAge2006'!$E42</f>
        <v>884777</v>
      </c>
      <c r="N54" s="5">
        <f t="shared" si="12"/>
        <v>1.091467793579625</v>
      </c>
    </row>
    <row r="55" spans="1:14" ht="12.75">
      <c r="A55" s="1">
        <v>33</v>
      </c>
      <c r="B55" s="2">
        <v>13214</v>
      </c>
      <c r="C55" s="2">
        <v>961765.5</v>
      </c>
      <c r="D55" s="2">
        <v>72.78383</v>
      </c>
      <c r="E55" s="3">
        <v>0.5151091</v>
      </c>
      <c r="F55" s="3">
        <v>0.4848909</v>
      </c>
      <c r="G55" s="3">
        <v>0.7414111</v>
      </c>
      <c r="H55" s="3">
        <v>0.2536505</v>
      </c>
      <c r="I55" s="3">
        <v>0.0001847</v>
      </c>
      <c r="J55" s="3">
        <v>0.0047537</v>
      </c>
      <c r="K55" s="5">
        <f t="shared" si="10"/>
        <v>0.9950616</v>
      </c>
      <c r="L55" s="5">
        <f t="shared" si="11"/>
        <v>0.0049384</v>
      </c>
      <c r="M55" s="2">
        <f>'[2]PopSexeAge2006'!$E43</f>
        <v>910743</v>
      </c>
      <c r="N55" s="5">
        <f t="shared" si="12"/>
        <v>1.0560229395120249</v>
      </c>
    </row>
    <row r="56" spans="1:14" ht="12.75">
      <c r="A56" s="1">
        <v>34</v>
      </c>
      <c r="B56" s="2">
        <v>14323</v>
      </c>
      <c r="C56" s="2">
        <v>987547</v>
      </c>
      <c r="D56" s="2">
        <v>68.94833</v>
      </c>
      <c r="E56" s="3">
        <v>0.5121993</v>
      </c>
      <c r="F56" s="3">
        <v>0.4878007</v>
      </c>
      <c r="G56" s="3">
        <v>0.7320984</v>
      </c>
      <c r="H56" s="3">
        <v>0.2626867</v>
      </c>
      <c r="I56" s="3">
        <v>0.0005481</v>
      </c>
      <c r="J56" s="3">
        <v>0.0046668</v>
      </c>
      <c r="K56" s="5">
        <f>G56+H56</f>
        <v>0.9947851000000001</v>
      </c>
      <c r="L56" s="5">
        <f>I56+J56</f>
        <v>0.0052149</v>
      </c>
      <c r="M56" s="2">
        <f>'[2]PopSexeAge2006'!$E44</f>
        <v>908649</v>
      </c>
      <c r="N56" s="5">
        <f t="shared" si="12"/>
        <v>1.0868300080669213</v>
      </c>
    </row>
  </sheetData>
  <mergeCells count="28">
    <mergeCell ref="A26:A27"/>
    <mergeCell ref="B26:B27"/>
    <mergeCell ref="C26:C27"/>
    <mergeCell ref="D26:D27"/>
    <mergeCell ref="A28:A29"/>
    <mergeCell ref="B28:B29"/>
    <mergeCell ref="C28:C29"/>
    <mergeCell ref="D28:D29"/>
    <mergeCell ref="N28:N29"/>
    <mergeCell ref="N30:N31"/>
    <mergeCell ref="A32:A33"/>
    <mergeCell ref="B32:B33"/>
    <mergeCell ref="C32:C33"/>
    <mergeCell ref="D32:D33"/>
    <mergeCell ref="A30:A31"/>
    <mergeCell ref="B30:B31"/>
    <mergeCell ref="C30:C31"/>
    <mergeCell ref="D30:D31"/>
    <mergeCell ref="O26:O27"/>
    <mergeCell ref="O28:O29"/>
    <mergeCell ref="G32:G33"/>
    <mergeCell ref="H32:H33"/>
    <mergeCell ref="I32:I33"/>
    <mergeCell ref="J32:J33"/>
    <mergeCell ref="K32:K33"/>
    <mergeCell ref="L32:L33"/>
    <mergeCell ref="M32:M33"/>
    <mergeCell ref="N26:N2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5" width="8.7109375" style="0" customWidth="1"/>
    <col min="6" max="16" width="7.7109375" style="0" customWidth="1"/>
    <col min="17" max="25" width="8.7109375" style="0" customWidth="1"/>
  </cols>
  <sheetData>
    <row r="2" ht="12.75">
      <c r="A2" s="7" t="s">
        <v>49</v>
      </c>
    </row>
    <row r="4" spans="1:16" ht="24.75" customHeight="1">
      <c r="A4" s="12" t="s">
        <v>38</v>
      </c>
      <c r="B4" s="13" t="s">
        <v>61</v>
      </c>
      <c r="C4" s="13" t="s">
        <v>62</v>
      </c>
      <c r="D4" s="13" t="s">
        <v>63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21" t="s">
        <v>21</v>
      </c>
      <c r="M4" s="13" t="s">
        <v>22</v>
      </c>
      <c r="N4" s="13" t="s">
        <v>23</v>
      </c>
      <c r="O4" s="13" t="s">
        <v>24</v>
      </c>
      <c r="P4" s="13" t="s">
        <v>25</v>
      </c>
    </row>
    <row r="5" spans="1:16" ht="24.75" customHeight="1">
      <c r="A5" s="12" t="s">
        <v>26</v>
      </c>
      <c r="B5" s="14">
        <v>17779.05</v>
      </c>
      <c r="C5" s="14">
        <v>16385.03</v>
      </c>
      <c r="D5" s="14">
        <v>1394.019</v>
      </c>
      <c r="E5" s="14">
        <v>10483.27</v>
      </c>
      <c r="F5" s="14">
        <v>545.3788</v>
      </c>
      <c r="G5" s="14">
        <v>4090.747</v>
      </c>
      <c r="H5" s="14">
        <v>1265.632</v>
      </c>
      <c r="I5" s="14">
        <v>120.5096</v>
      </c>
      <c r="J5" s="14">
        <v>510.7909</v>
      </c>
      <c r="K5" s="14">
        <v>590.051</v>
      </c>
      <c r="L5" s="14">
        <v>47.94832</v>
      </c>
      <c r="M5" s="14">
        <v>606.1576</v>
      </c>
      <c r="N5" s="14">
        <v>406.6169</v>
      </c>
      <c r="O5" s="14">
        <v>96.71333</v>
      </c>
      <c r="P5" s="14">
        <v>284.5316</v>
      </c>
    </row>
    <row r="6" spans="1:16" ht="24.75" customHeight="1">
      <c r="A6" s="12" t="s">
        <v>27</v>
      </c>
      <c r="B6" s="15">
        <f>B5/$B5</f>
        <v>1</v>
      </c>
      <c r="C6" s="15">
        <f aca="true" t="shared" si="0" ref="C6:P6">C5/$B5</f>
        <v>0.9215919860734966</v>
      </c>
      <c r="D6" s="15">
        <f t="shared" si="0"/>
        <v>0.0784079576805285</v>
      </c>
      <c r="E6" s="15">
        <f t="shared" si="0"/>
        <v>0.5896417412628909</v>
      </c>
      <c r="F6" s="15">
        <f t="shared" si="0"/>
        <v>0.030675362294385805</v>
      </c>
      <c r="G6" s="15">
        <f t="shared" si="0"/>
        <v>0.23008805307370192</v>
      </c>
      <c r="H6" s="15">
        <f t="shared" si="0"/>
        <v>0.07118670570137325</v>
      </c>
      <c r="I6" s="15">
        <f t="shared" si="0"/>
        <v>0.006778179936498295</v>
      </c>
      <c r="J6" s="15">
        <f t="shared" si="0"/>
        <v>0.02872993213923129</v>
      </c>
      <c r="K6" s="15">
        <f t="shared" si="0"/>
        <v>0.0331879937341984</v>
      </c>
      <c r="L6" s="15">
        <f t="shared" si="0"/>
        <v>0.002696900003093529</v>
      </c>
      <c r="M6" s="15">
        <f t="shared" si="0"/>
        <v>0.034093925153481204</v>
      </c>
      <c r="N6" s="15">
        <f t="shared" si="0"/>
        <v>0.02287056395026731</v>
      </c>
      <c r="O6" s="15">
        <f t="shared" si="0"/>
        <v>0.005439735531426033</v>
      </c>
      <c r="P6" s="15">
        <f t="shared" si="0"/>
        <v>0.01600375723112315</v>
      </c>
    </row>
    <row r="7" spans="1:16" ht="30" customHeight="1">
      <c r="A7" s="16" t="s">
        <v>28</v>
      </c>
      <c r="B7" s="17">
        <f>B5*StructureAge!$M27/1000000000</f>
        <v>892.7263137940641</v>
      </c>
      <c r="C7" s="17">
        <f>C5*StructureAge!$M27/1000000000</f>
        <v>822.729416549543</v>
      </c>
      <c r="D7" s="17">
        <f>D5*StructureAge!$M27/1000000000</f>
        <v>69.99684703225917</v>
      </c>
      <c r="E7" s="17">
        <f>E5*StructureAge!$M27/1000000000</f>
        <v>526.3886981367339</v>
      </c>
      <c r="F7" s="17">
        <f>F5*StructureAge!$M27/1000000000</f>
        <v>27.384703105364462</v>
      </c>
      <c r="G7" s="17">
        <f>G5*StructureAge!$M27/1000000000</f>
        <v>205.4056594685389</v>
      </c>
      <c r="H7" s="17">
        <f>H5*StructureAge!$M27/1000000000</f>
        <v>63.550245371929826</v>
      </c>
      <c r="I7" s="17">
        <f>I5*StructureAge!$M27/1000000000</f>
        <v>6.051059588943006</v>
      </c>
      <c r="J7" s="17">
        <f>J5*StructureAge!$M27/1000000000</f>
        <v>25.647966414209556</v>
      </c>
      <c r="K7" s="17">
        <f>K5*StructureAge!$M27/1000000000</f>
        <v>29.627795308551434</v>
      </c>
      <c r="L7" s="17">
        <f>L5*StructureAge!$M27/1000000000</f>
        <v>2.4075935984328862</v>
      </c>
      <c r="M7" s="17">
        <f>M5*StructureAge!$M27/1000000000</f>
        <v>30.436544125037994</v>
      </c>
      <c r="N7" s="17">
        <f>N5*StructureAge!$M27/1000000000</f>
        <v>20.417154249713544</v>
      </c>
      <c r="O7" s="17">
        <f>O5*StructureAge!$M27/1000000000</f>
        <v>4.8561950489845565</v>
      </c>
      <c r="P7" s="17">
        <f>P5*StructureAge!$M27/1000000000</f>
        <v>14.286975199795666</v>
      </c>
    </row>
    <row r="8" spans="1:16" ht="30" customHeight="1">
      <c r="A8" s="16" t="s">
        <v>29</v>
      </c>
      <c r="B8" s="17">
        <f>C8+D8</f>
        <v>893.2559743254999</v>
      </c>
      <c r="C8" s="17">
        <f>E8+F8+G8+H8</f>
        <v>824.4709828375</v>
      </c>
      <c r="D8" s="17">
        <f>M8+N8+O8+P8</f>
        <v>68.784991488</v>
      </c>
      <c r="E8" s="17">
        <f>'[1]Dénombrements2042(2005-2008)'!C$19</f>
        <v>527.902520042</v>
      </c>
      <c r="F8" s="17">
        <f>'[1]Dénombrements2042(2005-2008)'!D$19</f>
        <v>27.248360971</v>
      </c>
      <c r="G8" s="17">
        <f>'[1]Dénombrements2042(2005-2008)'!E$19</f>
        <v>205.84433220600002</v>
      </c>
      <c r="H8" s="17">
        <f>'[1]Dénombrements2042(2005-2008)'!F$19</f>
        <v>63.4757696185</v>
      </c>
      <c r="I8" s="17">
        <f>'[1]Dénombrements2042(2005-2008)'!I$19</f>
        <v>6.297376375499999</v>
      </c>
      <c r="J8" s="17">
        <f>'[1]Dénombrements2042(2005-2008)'!J$19</f>
        <v>27.130332376250003</v>
      </c>
      <c r="K8" s="17">
        <f>'[1]Dénombrements2042(2005-2008)'!K$19</f>
        <v>30.04806086675</v>
      </c>
      <c r="L8" s="17"/>
      <c r="M8" s="17">
        <f>'[1]Dénombrements2042(2005-2008)'!$L$19+'[1]Dénombrements2042(2005-2008)'!$M$19</f>
        <v>30.633774895000002</v>
      </c>
      <c r="N8" s="17">
        <f>'[1]Dénombrements2042(2005-2008)'!N19</f>
        <v>18.955813831</v>
      </c>
      <c r="O8" s="17">
        <f>'[1]Dénombrements2042(2005-2008)'!O19</f>
        <v>4.889366212</v>
      </c>
      <c r="P8" s="17">
        <f>'[1]Dénombrements2042(2005-2008)'!P19</f>
        <v>14.30603655</v>
      </c>
    </row>
    <row r="9" spans="1:16" ht="30" customHeight="1">
      <c r="A9" s="19" t="s">
        <v>30</v>
      </c>
      <c r="B9" s="18">
        <f>B8/B7</f>
        <v>1.0005933067315835</v>
      </c>
      <c r="C9" s="18">
        <f aca="true" t="shared" si="1" ref="C9:P9">C8/C7</f>
        <v>1.0021168153865958</v>
      </c>
      <c r="D9" s="18">
        <f t="shared" si="1"/>
        <v>0.982686998120063</v>
      </c>
      <c r="E9" s="20">
        <f t="shared" si="1"/>
        <v>1.0028758632368526</v>
      </c>
      <c r="F9" s="20">
        <f t="shared" si="1"/>
        <v>0.9950212301429788</v>
      </c>
      <c r="G9" s="20">
        <f t="shared" si="1"/>
        <v>1.0021356409487263</v>
      </c>
      <c r="H9" s="20">
        <f t="shared" si="1"/>
        <v>0.9988280807887687</v>
      </c>
      <c r="I9" s="20">
        <f t="shared" si="1"/>
        <v>1.0407063891763821</v>
      </c>
      <c r="J9" s="20">
        <f t="shared" si="1"/>
        <v>1.0577966275415576</v>
      </c>
      <c r="K9" s="20">
        <f t="shared" si="1"/>
        <v>1.0141848407490943</v>
      </c>
      <c r="L9" s="20"/>
      <c r="M9" s="20">
        <f t="shared" si="1"/>
        <v>1.0064800645287373</v>
      </c>
      <c r="N9" s="20">
        <f t="shared" si="1"/>
        <v>0.9284258520633919</v>
      </c>
      <c r="O9" s="20">
        <f t="shared" si="1"/>
        <v>1.0068306900115924</v>
      </c>
      <c r="P9" s="20">
        <f t="shared" si="1"/>
        <v>1.0013341767545454</v>
      </c>
    </row>
    <row r="11" spans="1:16" ht="24.75" customHeight="1">
      <c r="A11" s="12" t="s">
        <v>39</v>
      </c>
      <c r="B11" s="13" t="s">
        <v>61</v>
      </c>
      <c r="C11" s="13" t="s">
        <v>62</v>
      </c>
      <c r="D11" s="13" t="s">
        <v>63</v>
      </c>
      <c r="E11" s="13" t="s">
        <v>14</v>
      </c>
      <c r="F11" s="13" t="s">
        <v>15</v>
      </c>
      <c r="G11" s="13" t="s">
        <v>16</v>
      </c>
      <c r="H11" s="13" t="s">
        <v>17</v>
      </c>
      <c r="I11" s="13" t="s">
        <v>18</v>
      </c>
      <c r="J11" s="13" t="s">
        <v>19</v>
      </c>
      <c r="K11" s="13" t="s">
        <v>20</v>
      </c>
      <c r="L11" s="21" t="s">
        <v>21</v>
      </c>
      <c r="M11" s="13" t="s">
        <v>22</v>
      </c>
      <c r="N11" s="13" t="s">
        <v>23</v>
      </c>
      <c r="O11" s="13" t="s">
        <v>24</v>
      </c>
      <c r="P11" s="13" t="s">
        <v>25</v>
      </c>
    </row>
    <row r="12" spans="1:16" ht="24.75" customHeight="1">
      <c r="A12" s="12" t="s">
        <v>26</v>
      </c>
      <c r="B12" s="14">
        <v>3139.849</v>
      </c>
      <c r="C12" s="14">
        <v>2963.928</v>
      </c>
      <c r="D12" s="14">
        <v>175.9203</v>
      </c>
      <c r="E12" s="14">
        <v>2719.389</v>
      </c>
      <c r="F12" s="14">
        <v>80.48463</v>
      </c>
      <c r="G12" s="14">
        <v>92.99608</v>
      </c>
      <c r="H12" s="14">
        <v>71.05878</v>
      </c>
      <c r="I12" s="14">
        <v>27.09524</v>
      </c>
      <c r="J12" s="14">
        <v>38.26514</v>
      </c>
      <c r="K12" s="14">
        <v>5.698392</v>
      </c>
      <c r="L12" s="14">
        <v>0</v>
      </c>
      <c r="M12" s="14">
        <v>67.78009</v>
      </c>
      <c r="N12" s="14">
        <v>66.59943</v>
      </c>
      <c r="O12" s="14">
        <v>15.63189</v>
      </c>
      <c r="P12" s="14">
        <v>25.90891</v>
      </c>
    </row>
    <row r="13" spans="1:16" ht="24.75" customHeight="1">
      <c r="A13" s="16" t="s">
        <v>28</v>
      </c>
      <c r="B13" s="17">
        <f>B12*(StructureAge!$M27-StructureAge!$M29)/1000000000</f>
        <v>0.22642707889458324</v>
      </c>
      <c r="C13" s="17">
        <f>C12*(StructureAge!$M27-StructureAge!$M29)/1000000000</f>
        <v>0.21374071144627158</v>
      </c>
      <c r="D13" s="17">
        <f>D12*(StructureAge!$M27-StructureAge!$M29)/1000000000</f>
        <v>0.01268631696850987</v>
      </c>
      <c r="E13" s="17">
        <f>E12*(StructureAge!$M27-StructureAge!$M29)/1000000000</f>
        <v>0.19610602536875557</v>
      </c>
      <c r="F13" s="17">
        <f>F12*(StructureAge!$M27-StructureAge!$M29)/1000000000</f>
        <v>0.005804068815669588</v>
      </c>
      <c r="G13" s="17">
        <f>G12*(StructureAge!$M27-StructureAge!$M29)/1000000000</f>
        <v>0.006706319553280103</v>
      </c>
      <c r="H13" s="17">
        <f>H12*(StructureAge!$M27-StructureAge!$M29)/1000000000</f>
        <v>0.0051243330444275615</v>
      </c>
      <c r="I13" s="17">
        <f>I12*(StructureAge!$M27-StructureAge!$M29)/1000000000</f>
        <v>0.0019539462073327944</v>
      </c>
      <c r="J13" s="17">
        <f>J12*(StructureAge!$M27-StructureAge!$M29)/1000000000</f>
        <v>0.0027594524047787885</v>
      </c>
      <c r="K13" s="17">
        <f>K12*(StructureAge!$M27-StructureAge!$M29)/1000000000</f>
        <v>0.000410933855403958</v>
      </c>
      <c r="L13" s="17">
        <f>L12*(StructureAge!$M27-StructureAge!$M29)/1000000000</f>
        <v>0</v>
      </c>
      <c r="M13" s="17">
        <f>M12*(StructureAge!$M27-StructureAge!$M29)/1000000000</f>
        <v>0.004887893585300425</v>
      </c>
      <c r="N13" s="17">
        <f>N12*(StructureAge!$M27-StructureAge!$M29)/1000000000</f>
        <v>0.004802751467011398</v>
      </c>
      <c r="O13" s="17">
        <f>O12*(StructureAge!$M27-StructureAge!$M29)/1000000000</f>
        <v>0.0011272781558289736</v>
      </c>
      <c r="P13" s="17">
        <f>P12*(StructureAge!$M27-StructureAge!$M29)/1000000000</f>
        <v>0.0018683952026491263</v>
      </c>
    </row>
    <row r="14" spans="1:16" ht="24.75" customHeight="1">
      <c r="A14" s="12" t="s">
        <v>40</v>
      </c>
      <c r="B14" s="13" t="s">
        <v>61</v>
      </c>
      <c r="C14" s="13" t="s">
        <v>62</v>
      </c>
      <c r="D14" s="13" t="s">
        <v>63</v>
      </c>
      <c r="E14" s="13" t="s">
        <v>14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21" t="s">
        <v>21</v>
      </c>
      <c r="M14" s="13" t="s">
        <v>22</v>
      </c>
      <c r="N14" s="13" t="s">
        <v>23</v>
      </c>
      <c r="O14" s="13" t="s">
        <v>24</v>
      </c>
      <c r="P14" s="13" t="s">
        <v>25</v>
      </c>
    </row>
    <row r="15" spans="1:16" ht="24.75" customHeight="1">
      <c r="A15" s="12" t="s">
        <v>26</v>
      </c>
      <c r="B15" s="14">
        <v>17800.11</v>
      </c>
      <c r="C15" s="14">
        <v>16404.33</v>
      </c>
      <c r="D15" s="14">
        <v>1395.771</v>
      </c>
      <c r="E15" s="14">
        <v>10494.44</v>
      </c>
      <c r="F15" s="14">
        <v>546.0474</v>
      </c>
      <c r="G15" s="14">
        <v>4096.497</v>
      </c>
      <c r="H15" s="14">
        <v>1267.35</v>
      </c>
      <c r="I15" s="14">
        <v>120.6439</v>
      </c>
      <c r="J15" s="14">
        <v>511.4706</v>
      </c>
      <c r="K15" s="14">
        <v>590.8915</v>
      </c>
      <c r="L15" s="14">
        <v>48.01728</v>
      </c>
      <c r="M15" s="14">
        <v>606.9319</v>
      </c>
      <c r="N15" s="14">
        <v>407.1059</v>
      </c>
      <c r="O15" s="14">
        <v>96.82995</v>
      </c>
      <c r="P15" s="14">
        <v>284.9036</v>
      </c>
    </row>
    <row r="16" spans="1:16" ht="25.5">
      <c r="A16" s="16" t="s">
        <v>28</v>
      </c>
      <c r="B16" s="17">
        <f>B15*StructureAge!$M29/1000000000</f>
        <v>892.5001468498205</v>
      </c>
      <c r="C16" s="17">
        <f>C15*StructureAge!$M29/1000000000</f>
        <v>822.5155313069928</v>
      </c>
      <c r="D16" s="17">
        <f>D15*StructureAge!$M29/1000000000</f>
        <v>69.98416428149717</v>
      </c>
      <c r="E16" s="17">
        <f>E15*StructureAge!$M29/1000000000</f>
        <v>526.1927730281795</v>
      </c>
      <c r="F16" s="17">
        <f>F15*StructureAge!$M29/1000000000</f>
        <v>27.378897360014214</v>
      </c>
      <c r="G16" s="17">
        <f>G15*StructureAge!$M29/1000000000</f>
        <v>205.39896517885836</v>
      </c>
      <c r="H16" s="17">
        <f>H15*StructureAge!$M29/1000000000</f>
        <v>63.545116356591045</v>
      </c>
      <c r="I16" s="17">
        <f>I15*StructureAge!$M29/1000000000</f>
        <v>6.049102981191411</v>
      </c>
      <c r="J16" s="17">
        <f>J15*StructureAge!$M29/1000000000</f>
        <v>25.645211496410177</v>
      </c>
      <c r="K16" s="17">
        <f>K15*StructureAge!$M29/1000000000</f>
        <v>29.627387163467564</v>
      </c>
      <c r="L16" s="17">
        <f>L15*StructureAge!$M29/1000000000</f>
        <v>2.407593517755168</v>
      </c>
      <c r="M16" s="17">
        <f>M15*StructureAge!$M29/1000000000</f>
        <v>30.431655190773572</v>
      </c>
      <c r="N16" s="17">
        <f>N15*StructureAge!$M29/1000000000</f>
        <v>20.412350009827374</v>
      </c>
      <c r="O16" s="17">
        <f>O15*StructureAge!$M29/1000000000</f>
        <v>4.8550680076955</v>
      </c>
      <c r="P16" s="17">
        <f>P15*StructureAge!$M29/1000000000</f>
        <v>14.285108622252475</v>
      </c>
    </row>
    <row r="17" spans="1:16" ht="12.75">
      <c r="A17" s="19" t="s">
        <v>46</v>
      </c>
      <c r="B17" s="30">
        <f>B13/B7</f>
        <v>0.0002536354932031452</v>
      </c>
      <c r="C17" s="30">
        <f aca="true" t="shared" si="2" ref="C17:P17">C13/C7</f>
        <v>0.0002597946629192887</v>
      </c>
      <c r="D17" s="30">
        <f t="shared" si="2"/>
        <v>0.00018124126309093864</v>
      </c>
      <c r="E17" s="30">
        <f t="shared" si="2"/>
        <v>0.0003725498401901771</v>
      </c>
      <c r="F17" s="30">
        <f t="shared" si="2"/>
        <v>0.00021194565423397318</v>
      </c>
      <c r="G17" s="30">
        <f t="shared" si="2"/>
        <v>3.264914691558088E-05</v>
      </c>
      <c r="H17" s="30">
        <f t="shared" si="2"/>
        <v>8.063435498064941E-05</v>
      </c>
      <c r="I17" s="30">
        <f t="shared" si="2"/>
        <v>0.0003229097612760591</v>
      </c>
      <c r="J17" s="30">
        <f t="shared" si="2"/>
        <v>0.00010758952036251846</v>
      </c>
      <c r="K17" s="30">
        <f t="shared" si="2"/>
        <v>1.3869876280850052E-05</v>
      </c>
      <c r="L17" s="30">
        <f t="shared" si="2"/>
        <v>0</v>
      </c>
      <c r="M17" s="30">
        <f t="shared" si="2"/>
        <v>0.00016059292294224366</v>
      </c>
      <c r="N17" s="30">
        <f t="shared" si="2"/>
        <v>0.0002352311888459569</v>
      </c>
      <c r="O17" s="30">
        <f t="shared" si="2"/>
        <v>0.00023213197667270192</v>
      </c>
      <c r="P17" s="30">
        <f t="shared" si="2"/>
        <v>0.00013077612136373334</v>
      </c>
    </row>
    <row r="18" spans="1:16" ht="12.75">
      <c r="A18" s="12" t="s">
        <v>41</v>
      </c>
      <c r="B18" s="4">
        <f>B16/B7</f>
        <v>0.9997466559003033</v>
      </c>
      <c r="C18" s="4">
        <f aca="true" t="shared" si="3" ref="C18:P18">C16/C7</f>
        <v>0.9997400296643735</v>
      </c>
      <c r="D18" s="4">
        <f t="shared" si="3"/>
        <v>0.9998188096850112</v>
      </c>
      <c r="E18" s="4">
        <f t="shared" si="3"/>
        <v>0.9996277938541465</v>
      </c>
      <c r="F18" s="4">
        <f t="shared" si="3"/>
        <v>0.9997879931241939</v>
      </c>
      <c r="G18" s="31">
        <f t="shared" si="3"/>
        <v>0.9999674094194978</v>
      </c>
      <c r="H18" s="4">
        <f t="shared" si="3"/>
        <v>0.9999192919663997</v>
      </c>
      <c r="I18" s="4">
        <f t="shared" si="3"/>
        <v>0.9996766503910869</v>
      </c>
      <c r="J18" s="4">
        <f t="shared" si="3"/>
        <v>0.9998925872813895</v>
      </c>
      <c r="K18" s="31">
        <f t="shared" si="3"/>
        <v>0.9999862242505857</v>
      </c>
      <c r="L18" s="31">
        <f t="shared" si="3"/>
        <v>0.9999999664903086</v>
      </c>
      <c r="M18" s="4">
        <f t="shared" si="3"/>
        <v>0.9998393728852941</v>
      </c>
      <c r="N18" s="4">
        <f t="shared" si="3"/>
        <v>0.9997646959107321</v>
      </c>
      <c r="O18" s="4">
        <f t="shared" si="3"/>
        <v>0.9997679167995339</v>
      </c>
      <c r="P18" s="4">
        <f t="shared" si="3"/>
        <v>0.9998693511035689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2" width="8.28125" style="0" customWidth="1"/>
    <col min="3" max="3" width="9.7109375" style="0" customWidth="1"/>
    <col min="4" max="16" width="8.28125" style="0" customWidth="1"/>
    <col min="17" max="25" width="8.7109375" style="0" customWidth="1"/>
  </cols>
  <sheetData>
    <row r="1" ht="12.75">
      <c r="A1" s="7" t="s">
        <v>50</v>
      </c>
    </row>
    <row r="3" ht="12.75">
      <c r="N3" t="s">
        <v>67</v>
      </c>
    </row>
    <row r="4" spans="1:19" ht="12.75">
      <c r="A4" s="6" t="s">
        <v>0</v>
      </c>
      <c r="B4" s="6" t="s">
        <v>5</v>
      </c>
      <c r="C4" s="6" t="s">
        <v>1</v>
      </c>
      <c r="D4" s="6" t="s">
        <v>6</v>
      </c>
      <c r="E4" s="6" t="s">
        <v>61</v>
      </c>
      <c r="F4" s="6" t="s">
        <v>62</v>
      </c>
      <c r="G4" s="6" t="s">
        <v>63</v>
      </c>
      <c r="H4" s="6" t="s">
        <v>64</v>
      </c>
      <c r="I4" s="6" t="s">
        <v>65</v>
      </c>
      <c r="J4" s="6" t="s">
        <v>66</v>
      </c>
      <c r="K4" s="6" t="s">
        <v>61</v>
      </c>
      <c r="L4" s="6" t="s">
        <v>62</v>
      </c>
      <c r="M4" s="6" t="s">
        <v>63</v>
      </c>
      <c r="N4" s="6" t="s">
        <v>61</v>
      </c>
      <c r="O4" s="6" t="s">
        <v>62</v>
      </c>
      <c r="P4" s="6" t="s">
        <v>63</v>
      </c>
      <c r="Q4" s="6" t="s">
        <v>61</v>
      </c>
      <c r="R4" s="6" t="s">
        <v>62</v>
      </c>
      <c r="S4" s="6" t="s">
        <v>63</v>
      </c>
    </row>
    <row r="5" spans="1:19" ht="12.75">
      <c r="A5" s="1">
        <v>18</v>
      </c>
      <c r="B5" s="2">
        <v>32091</v>
      </c>
      <c r="C5" s="26">
        <v>1434032</v>
      </c>
      <c r="D5" s="2">
        <v>44.68642</v>
      </c>
      <c r="E5" s="11">
        <v>2574.633</v>
      </c>
      <c r="F5" s="11">
        <v>2556.269</v>
      </c>
      <c r="G5" s="11">
        <v>18.36407</v>
      </c>
      <c r="H5" s="3">
        <v>0.397891</v>
      </c>
      <c r="I5" s="3">
        <v>0.3964572</v>
      </c>
      <c r="J5" s="3">
        <v>0.0119682</v>
      </c>
      <c r="K5" s="28">
        <f>E5/E$20</f>
        <v>0.14464144285267908</v>
      </c>
      <c r="L5" s="28">
        <f aca="true" t="shared" si="0" ref="L5:L20">F5/F$20</f>
        <v>0.15582887870853568</v>
      </c>
      <c r="M5" s="28">
        <f aca="true" t="shared" si="1" ref="M5:M20">G5/G$20</f>
        <v>0.013156932864234515</v>
      </c>
      <c r="N5" s="11">
        <f>E5/H5</f>
        <v>6470.699261858147</v>
      </c>
      <c r="O5" s="11">
        <f aca="true" t="shared" si="2" ref="O5:O20">F5/I5</f>
        <v>6447.780491816014</v>
      </c>
      <c r="P5" s="11">
        <f aca="true" t="shared" si="3" ref="P5:P20">G5/J5</f>
        <v>1534.4053408198395</v>
      </c>
      <c r="Q5" s="28">
        <f>N5/N$20</f>
        <v>0.3269746131441476</v>
      </c>
      <c r="R5" s="28">
        <f aca="true" t="shared" si="4" ref="R5:R20">O5/O$20</f>
        <v>0.3438991367459148</v>
      </c>
      <c r="S5" s="28">
        <f aca="true" t="shared" si="5" ref="S5:S20">P5/P$20</f>
        <v>0.34170873450402683</v>
      </c>
    </row>
    <row r="6" spans="1:19" ht="12.75">
      <c r="A6" s="1">
        <v>20</v>
      </c>
      <c r="B6" s="2">
        <v>55841</v>
      </c>
      <c r="C6" s="26">
        <v>3966377</v>
      </c>
      <c r="D6" s="2">
        <v>71.02984</v>
      </c>
      <c r="E6" s="11">
        <v>8783.76</v>
      </c>
      <c r="F6" s="11">
        <v>8695.999</v>
      </c>
      <c r="G6" s="11">
        <v>87.76082</v>
      </c>
      <c r="H6" s="3">
        <v>0.7916333</v>
      </c>
      <c r="I6" s="3">
        <v>0.7878421</v>
      </c>
      <c r="J6" s="3">
        <v>0.049694</v>
      </c>
      <c r="K6" s="28">
        <f aca="true" t="shared" si="6" ref="K6:K20">E6/E$20</f>
        <v>0.4934667271302933</v>
      </c>
      <c r="L6" s="28">
        <f t="shared" si="0"/>
        <v>0.5301037462882614</v>
      </c>
      <c r="M6" s="28">
        <f t="shared" si="1"/>
        <v>0.06287621517725481</v>
      </c>
      <c r="N6" s="11">
        <f aca="true" t="shared" si="7" ref="N6:N20">E6/H6</f>
        <v>11095.743445860602</v>
      </c>
      <c r="O6" s="11">
        <f t="shared" si="2"/>
        <v>11037.743476770282</v>
      </c>
      <c r="P6" s="11">
        <f t="shared" si="3"/>
        <v>1766.0244697548999</v>
      </c>
      <c r="Q6" s="28">
        <f aca="true" t="shared" si="8" ref="Q6:Q20">N6/N$20</f>
        <v>0.5606853716943021</v>
      </c>
      <c r="R6" s="28">
        <f t="shared" si="4"/>
        <v>0.5887096277706948</v>
      </c>
      <c r="S6" s="28">
        <f t="shared" si="5"/>
        <v>0.39328981111383343</v>
      </c>
    </row>
    <row r="7" spans="1:19" ht="12.75">
      <c r="A7" s="1">
        <v>25</v>
      </c>
      <c r="B7" s="2">
        <v>35830</v>
      </c>
      <c r="C7" s="26">
        <v>4224359</v>
      </c>
      <c r="D7" s="2">
        <v>117.9001</v>
      </c>
      <c r="E7" s="11">
        <v>14465.15</v>
      </c>
      <c r="F7" s="11">
        <v>14203.43</v>
      </c>
      <c r="G7" s="11">
        <v>261.714</v>
      </c>
      <c r="H7" s="3">
        <v>0.9076892</v>
      </c>
      <c r="I7" s="3">
        <v>0.8994204</v>
      </c>
      <c r="J7" s="3">
        <v>0.1373135</v>
      </c>
      <c r="K7" s="28">
        <f t="shared" si="6"/>
        <v>0.8126440417257259</v>
      </c>
      <c r="L7" s="28">
        <f t="shared" si="0"/>
        <v>0.8658339833230294</v>
      </c>
      <c r="M7" s="28">
        <f t="shared" si="1"/>
        <v>0.18750492279926353</v>
      </c>
      <c r="N7" s="11">
        <f t="shared" si="7"/>
        <v>15936.236764742822</v>
      </c>
      <c r="O7" s="11">
        <f t="shared" si="2"/>
        <v>15791.758781544204</v>
      </c>
      <c r="P7" s="11">
        <f t="shared" si="3"/>
        <v>1905.9597199110065</v>
      </c>
      <c r="Q7" s="28">
        <f t="shared" si="8"/>
        <v>0.8052831139657991</v>
      </c>
      <c r="R7" s="28">
        <f t="shared" si="4"/>
        <v>0.8422700213764873</v>
      </c>
      <c r="S7" s="28">
        <f t="shared" si="5"/>
        <v>0.42445308718650315</v>
      </c>
    </row>
    <row r="8" spans="1:19" ht="12.75">
      <c r="A8" s="1">
        <v>30</v>
      </c>
      <c r="B8" s="2">
        <v>58807</v>
      </c>
      <c r="C8" s="26">
        <v>4672294</v>
      </c>
      <c r="D8" s="2">
        <v>79.45133</v>
      </c>
      <c r="E8" s="11">
        <v>17321.1</v>
      </c>
      <c r="F8" s="11">
        <v>16737.51</v>
      </c>
      <c r="G8" s="11">
        <v>583.5853</v>
      </c>
      <c r="H8" s="3">
        <v>0.9025633</v>
      </c>
      <c r="I8" s="3">
        <v>0.8863723</v>
      </c>
      <c r="J8" s="3">
        <v>0.2131751</v>
      </c>
      <c r="K8" s="28">
        <f t="shared" si="6"/>
        <v>0.9730897163966824</v>
      </c>
      <c r="L8" s="28">
        <f t="shared" si="0"/>
        <v>1.020310231698191</v>
      </c>
      <c r="M8" s="28">
        <f t="shared" si="1"/>
        <v>0.41810952651858535</v>
      </c>
      <c r="N8" s="11">
        <f t="shared" si="7"/>
        <v>19191.008542004754</v>
      </c>
      <c r="O8" s="11">
        <f t="shared" si="2"/>
        <v>18883.16004459977</v>
      </c>
      <c r="P8" s="11">
        <f t="shared" si="3"/>
        <v>2737.586613070663</v>
      </c>
      <c r="Q8" s="28">
        <f t="shared" si="8"/>
        <v>0.9697518521462076</v>
      </c>
      <c r="R8" s="28">
        <f t="shared" si="4"/>
        <v>1.007153150857933</v>
      </c>
      <c r="S8" s="28">
        <f t="shared" si="5"/>
        <v>0.6096545888244382</v>
      </c>
    </row>
    <row r="9" spans="1:19" ht="12.75">
      <c r="A9" s="1">
        <v>35</v>
      </c>
      <c r="B9" s="2">
        <v>81817</v>
      </c>
      <c r="C9" s="26">
        <v>4684728</v>
      </c>
      <c r="D9" s="2">
        <v>57.25861</v>
      </c>
      <c r="E9" s="11">
        <v>19389.98</v>
      </c>
      <c r="F9" s="11">
        <v>18366.85</v>
      </c>
      <c r="G9" s="11">
        <v>1023.126</v>
      </c>
      <c r="H9" s="3">
        <v>0.9062611</v>
      </c>
      <c r="I9" s="3">
        <v>0.8830152</v>
      </c>
      <c r="J9" s="3">
        <v>0.2605252</v>
      </c>
      <c r="K9" s="28">
        <f t="shared" si="6"/>
        <v>1.0893182383992555</v>
      </c>
      <c r="L9" s="28">
        <f t="shared" si="0"/>
        <v>1.1196339825377801</v>
      </c>
      <c r="M9" s="28">
        <f t="shared" si="1"/>
        <v>0.7330183392708044</v>
      </c>
      <c r="N9" s="11">
        <f t="shared" si="7"/>
        <v>21395.57794105915</v>
      </c>
      <c r="O9" s="11">
        <f t="shared" si="2"/>
        <v>20800.151571569775</v>
      </c>
      <c r="P9" s="11">
        <f t="shared" si="3"/>
        <v>3927.167122412726</v>
      </c>
      <c r="Q9" s="28">
        <f t="shared" si="8"/>
        <v>1.0811522120198696</v>
      </c>
      <c r="R9" s="28">
        <f t="shared" si="4"/>
        <v>1.1093979050196152</v>
      </c>
      <c r="S9" s="28">
        <f t="shared" si="5"/>
        <v>0.8745715828051438</v>
      </c>
    </row>
    <row r="10" spans="1:19" ht="12.75">
      <c r="A10" s="1">
        <v>40</v>
      </c>
      <c r="B10" s="2">
        <v>97657</v>
      </c>
      <c r="C10" s="26">
        <v>4741150</v>
      </c>
      <c r="D10" s="2">
        <v>48.549</v>
      </c>
      <c r="E10" s="11">
        <v>21285.5</v>
      </c>
      <c r="F10" s="11">
        <v>19872.32</v>
      </c>
      <c r="G10" s="11">
        <v>1413.178</v>
      </c>
      <c r="H10" s="3">
        <v>0.9129944</v>
      </c>
      <c r="I10" s="3">
        <v>0.885246</v>
      </c>
      <c r="J10" s="3">
        <v>0.2940072</v>
      </c>
      <c r="K10" s="28">
        <f t="shared" si="6"/>
        <v>1.195807492501145</v>
      </c>
      <c r="L10" s="28">
        <f t="shared" si="0"/>
        <v>1.2114066801800623</v>
      </c>
      <c r="M10" s="28">
        <f t="shared" si="1"/>
        <v>1.01247098661752</v>
      </c>
      <c r="N10" s="11">
        <f t="shared" si="7"/>
        <v>23313.943656171385</v>
      </c>
      <c r="O10" s="11">
        <f t="shared" si="2"/>
        <v>22448.358987219373</v>
      </c>
      <c r="P10" s="11">
        <f t="shared" si="3"/>
        <v>4806.610178254138</v>
      </c>
      <c r="Q10" s="28">
        <f t="shared" si="8"/>
        <v>1.1780902494998704</v>
      </c>
      <c r="R10" s="28">
        <f t="shared" si="4"/>
        <v>1.197306776628932</v>
      </c>
      <c r="S10" s="28">
        <f t="shared" si="5"/>
        <v>1.070421639948035</v>
      </c>
    </row>
    <row r="11" spans="1:19" ht="12.75">
      <c r="A11" s="1">
        <v>45</v>
      </c>
      <c r="B11" s="2">
        <v>94301</v>
      </c>
      <c r="C11" s="26">
        <v>4485318</v>
      </c>
      <c r="D11" s="2">
        <v>47.56384</v>
      </c>
      <c r="E11" s="11">
        <v>22464.96</v>
      </c>
      <c r="F11" s="11">
        <v>20744.11</v>
      </c>
      <c r="G11" s="11">
        <v>1720.851</v>
      </c>
      <c r="H11" s="3">
        <v>0.910102</v>
      </c>
      <c r="I11" s="3">
        <v>0.8769093</v>
      </c>
      <c r="J11" s="3">
        <v>0.3362881</v>
      </c>
      <c r="K11" s="28">
        <f t="shared" si="6"/>
        <v>1.2620688960437163</v>
      </c>
      <c r="L11" s="28">
        <f t="shared" si="0"/>
        <v>1.2645505622086417</v>
      </c>
      <c r="M11" s="28">
        <f t="shared" si="1"/>
        <v>1.2329032222350944</v>
      </c>
      <c r="N11" s="11">
        <f t="shared" si="7"/>
        <v>24684.00245247236</v>
      </c>
      <c r="O11" s="11">
        <f t="shared" si="2"/>
        <v>23655.93568228778</v>
      </c>
      <c r="P11" s="11">
        <f t="shared" si="3"/>
        <v>5117.192669023972</v>
      </c>
      <c r="Q11" s="28">
        <f t="shared" si="8"/>
        <v>1.2473214757980629</v>
      </c>
      <c r="R11" s="28">
        <f t="shared" si="4"/>
        <v>1.2617141465007227</v>
      </c>
      <c r="S11" s="28">
        <f t="shared" si="5"/>
        <v>1.1395876856184466</v>
      </c>
    </row>
    <row r="12" spans="1:19" ht="12.75">
      <c r="A12" s="1">
        <v>50</v>
      </c>
      <c r="B12" s="2">
        <v>87452</v>
      </c>
      <c r="C12" s="26">
        <v>4369309</v>
      </c>
      <c r="D12" s="2">
        <v>49.96236</v>
      </c>
      <c r="E12" s="11">
        <v>22648.62</v>
      </c>
      <c r="F12" s="11">
        <v>20649.35</v>
      </c>
      <c r="G12" s="11">
        <v>1999.267</v>
      </c>
      <c r="H12" s="3">
        <v>0.9003391</v>
      </c>
      <c r="I12" s="3">
        <v>0.8565046</v>
      </c>
      <c r="J12" s="3">
        <v>0.3765749</v>
      </c>
      <c r="K12" s="28">
        <f t="shared" si="6"/>
        <v>1.27238681218723</v>
      </c>
      <c r="L12" s="28">
        <f t="shared" si="0"/>
        <v>1.2587740400404266</v>
      </c>
      <c r="M12" s="28">
        <f t="shared" si="1"/>
        <v>1.4323742883075237</v>
      </c>
      <c r="N12" s="11">
        <f t="shared" si="7"/>
        <v>25155.655241452914</v>
      </c>
      <c r="O12" s="11">
        <f t="shared" si="2"/>
        <v>24108.86059456073</v>
      </c>
      <c r="P12" s="11">
        <f t="shared" si="3"/>
        <v>5309.08193828107</v>
      </c>
      <c r="Q12" s="28">
        <f t="shared" si="8"/>
        <v>1.2711548332103482</v>
      </c>
      <c r="R12" s="28">
        <f t="shared" si="4"/>
        <v>1.2858713718496764</v>
      </c>
      <c r="S12" s="28">
        <f t="shared" si="5"/>
        <v>1.1823210088273655</v>
      </c>
    </row>
    <row r="13" spans="1:19" ht="12.75">
      <c r="A13" s="1">
        <v>55</v>
      </c>
      <c r="B13" s="2">
        <v>86071</v>
      </c>
      <c r="C13" s="26">
        <v>4292726</v>
      </c>
      <c r="D13" s="2">
        <v>49.87424</v>
      </c>
      <c r="E13" s="11">
        <v>21968.79</v>
      </c>
      <c r="F13" s="11">
        <v>19651.96</v>
      </c>
      <c r="G13" s="11">
        <v>2316.841</v>
      </c>
      <c r="H13" s="3">
        <v>0.9086939</v>
      </c>
      <c r="I13" s="3">
        <v>0.8517787</v>
      </c>
      <c r="J13" s="3">
        <v>0.4310154</v>
      </c>
      <c r="K13" s="28">
        <f t="shared" si="6"/>
        <v>1.2341943427772066</v>
      </c>
      <c r="L13" s="28">
        <f t="shared" si="0"/>
        <v>1.1979736448804859</v>
      </c>
      <c r="M13" s="28">
        <f t="shared" si="1"/>
        <v>1.6599000926322953</v>
      </c>
      <c r="N13" s="11">
        <f t="shared" si="7"/>
        <v>24176.22700009321</v>
      </c>
      <c r="O13" s="11">
        <f t="shared" si="2"/>
        <v>23071.673428790833</v>
      </c>
      <c r="P13" s="11">
        <f t="shared" si="3"/>
        <v>5375.309095684284</v>
      </c>
      <c r="Q13" s="28">
        <f t="shared" si="8"/>
        <v>1.2216627833775333</v>
      </c>
      <c r="R13" s="28">
        <f t="shared" si="4"/>
        <v>1.2305519062746706</v>
      </c>
      <c r="S13" s="28">
        <f t="shared" si="5"/>
        <v>1.197069652842095</v>
      </c>
    </row>
    <row r="14" spans="1:19" ht="12.75">
      <c r="A14" s="1">
        <v>60</v>
      </c>
      <c r="B14" s="2">
        <v>53429</v>
      </c>
      <c r="C14" s="26">
        <v>2930903</v>
      </c>
      <c r="D14" s="2">
        <v>54.85603</v>
      </c>
      <c r="E14" s="11">
        <v>19622</v>
      </c>
      <c r="F14" s="11">
        <v>17189.96</v>
      </c>
      <c r="G14" s="11">
        <v>2432.041</v>
      </c>
      <c r="H14" s="3">
        <v>0.9410744</v>
      </c>
      <c r="I14" s="3">
        <v>0.8974076</v>
      </c>
      <c r="J14" s="3">
        <v>0.4596815</v>
      </c>
      <c r="K14" s="28">
        <f t="shared" si="6"/>
        <v>1.1023529923120186</v>
      </c>
      <c r="L14" s="28">
        <f t="shared" si="0"/>
        <v>1.0478913572259336</v>
      </c>
      <c r="M14" s="28">
        <f t="shared" si="1"/>
        <v>1.7424351007192727</v>
      </c>
      <c r="N14" s="11">
        <f t="shared" si="7"/>
        <v>20850.636251501477</v>
      </c>
      <c r="O14" s="11">
        <f t="shared" si="2"/>
        <v>19155.130845782896</v>
      </c>
      <c r="P14" s="11">
        <f t="shared" si="3"/>
        <v>5290.708893005266</v>
      </c>
      <c r="Q14" s="28">
        <f t="shared" si="8"/>
        <v>1.0536154511662874</v>
      </c>
      <c r="R14" s="28">
        <f t="shared" si="4"/>
        <v>1.0216589988572078</v>
      </c>
      <c r="S14" s="28">
        <f t="shared" si="5"/>
        <v>1.1782293715766599</v>
      </c>
    </row>
    <row r="15" spans="1:19" ht="12.75">
      <c r="A15" s="1">
        <v>65</v>
      </c>
      <c r="B15" s="2">
        <v>39407</v>
      </c>
      <c r="C15" s="26">
        <v>2644534</v>
      </c>
      <c r="D15" s="2">
        <v>67.10824</v>
      </c>
      <c r="E15" s="11">
        <v>17253.82</v>
      </c>
      <c r="F15" s="11">
        <v>15160.75</v>
      </c>
      <c r="G15" s="11">
        <v>2093.07</v>
      </c>
      <c r="H15" s="3">
        <v>0.9728766</v>
      </c>
      <c r="I15" s="3">
        <v>0.9594043</v>
      </c>
      <c r="J15" s="3">
        <v>0.4700744</v>
      </c>
      <c r="K15" s="28">
        <f t="shared" si="6"/>
        <v>0.9693099636027392</v>
      </c>
      <c r="L15" s="28">
        <f t="shared" si="0"/>
        <v>0.9241917313398678</v>
      </c>
      <c r="M15" s="28">
        <f t="shared" si="1"/>
        <v>1.4995794216719571</v>
      </c>
      <c r="N15" s="11">
        <f t="shared" si="7"/>
        <v>17734.849414612294</v>
      </c>
      <c r="O15" s="11">
        <f t="shared" si="2"/>
        <v>15802.253544204461</v>
      </c>
      <c r="P15" s="11">
        <f t="shared" si="3"/>
        <v>4452.635582792852</v>
      </c>
      <c r="Q15" s="28">
        <f t="shared" si="8"/>
        <v>0.8961698406684028</v>
      </c>
      <c r="R15" s="28">
        <f t="shared" si="4"/>
        <v>0.8428297705527809</v>
      </c>
      <c r="S15" s="28">
        <f t="shared" si="5"/>
        <v>0.9915922668718026</v>
      </c>
    </row>
    <row r="16" spans="1:19" ht="12.75">
      <c r="A16" s="1">
        <v>70</v>
      </c>
      <c r="B16" s="2">
        <v>35250</v>
      </c>
      <c r="C16" s="26">
        <v>2567356</v>
      </c>
      <c r="D16" s="2">
        <v>72.8328</v>
      </c>
      <c r="E16" s="11">
        <v>16027.84</v>
      </c>
      <c r="F16" s="11">
        <v>14161.62</v>
      </c>
      <c r="G16" s="11">
        <v>1866.224</v>
      </c>
      <c r="H16" s="3">
        <v>0.9746143</v>
      </c>
      <c r="I16" s="3">
        <v>0.9598438</v>
      </c>
      <c r="J16" s="3">
        <v>0.4694251</v>
      </c>
      <c r="K16" s="28">
        <f t="shared" si="6"/>
        <v>0.9004350924624535</v>
      </c>
      <c r="L16" s="28">
        <f t="shared" si="0"/>
        <v>0.863285266650878</v>
      </c>
      <c r="M16" s="28">
        <f t="shared" si="1"/>
        <v>1.3370556678134635</v>
      </c>
      <c r="N16" s="11">
        <f t="shared" si="7"/>
        <v>16445.315854692464</v>
      </c>
      <c r="O16" s="11">
        <f t="shared" si="2"/>
        <v>14754.088113086735</v>
      </c>
      <c r="P16" s="11">
        <f t="shared" si="3"/>
        <v>3975.552223347239</v>
      </c>
      <c r="Q16" s="28">
        <f t="shared" si="8"/>
        <v>0.8310076812435957</v>
      </c>
      <c r="R16" s="28">
        <f t="shared" si="4"/>
        <v>0.7869247676784086</v>
      </c>
      <c r="S16" s="28">
        <f t="shared" si="5"/>
        <v>0.8853468396224513</v>
      </c>
    </row>
    <row r="17" spans="1:19" ht="12.75">
      <c r="A17" s="1">
        <v>75</v>
      </c>
      <c r="B17" s="2">
        <v>31938</v>
      </c>
      <c r="C17" s="26">
        <v>2245488</v>
      </c>
      <c r="D17" s="2">
        <v>70.30772</v>
      </c>
      <c r="E17" s="11">
        <v>15995.58</v>
      </c>
      <c r="F17" s="11">
        <v>14051.32</v>
      </c>
      <c r="G17" s="11">
        <v>1944.258</v>
      </c>
      <c r="H17" s="3">
        <v>0.9769595</v>
      </c>
      <c r="I17" s="3">
        <v>0.9594828</v>
      </c>
      <c r="J17" s="3">
        <v>0.4707901</v>
      </c>
      <c r="K17" s="28">
        <f t="shared" si="6"/>
        <v>0.8986227436941329</v>
      </c>
      <c r="L17" s="28">
        <f t="shared" si="0"/>
        <v>0.8565614338611554</v>
      </c>
      <c r="M17" s="28">
        <f t="shared" si="1"/>
        <v>1.392963105496269</v>
      </c>
      <c r="N17" s="11">
        <f t="shared" si="7"/>
        <v>16372.817911080245</v>
      </c>
      <c r="O17" s="11">
        <f t="shared" si="2"/>
        <v>14644.681488818767</v>
      </c>
      <c r="P17" s="11">
        <f t="shared" si="3"/>
        <v>4129.776730649179</v>
      </c>
      <c r="Q17" s="28">
        <f t="shared" si="8"/>
        <v>0.8273442461020366</v>
      </c>
      <c r="R17" s="28">
        <f t="shared" si="4"/>
        <v>0.7810894505971595</v>
      </c>
      <c r="S17" s="28">
        <f t="shared" si="5"/>
        <v>0.9196923022050406</v>
      </c>
    </row>
    <row r="18" spans="1:19" ht="12.75">
      <c r="A18" s="1">
        <v>80</v>
      </c>
      <c r="B18" s="2">
        <v>26731</v>
      </c>
      <c r="C18" s="26">
        <v>1699904</v>
      </c>
      <c r="D18" s="2">
        <v>63.59299</v>
      </c>
      <c r="E18" s="11">
        <v>16121.68</v>
      </c>
      <c r="F18" s="11">
        <v>14077.69</v>
      </c>
      <c r="G18" s="11">
        <v>2043.996</v>
      </c>
      <c r="H18" s="3">
        <v>0.9776619</v>
      </c>
      <c r="I18" s="3">
        <v>0.9622347</v>
      </c>
      <c r="J18" s="3">
        <v>0.4767707</v>
      </c>
      <c r="K18" s="28">
        <f t="shared" si="6"/>
        <v>0.9057069712107237</v>
      </c>
      <c r="L18" s="28">
        <f t="shared" si="0"/>
        <v>0.8581689358617445</v>
      </c>
      <c r="M18" s="28">
        <f t="shared" si="1"/>
        <v>1.4644203679665724</v>
      </c>
      <c r="N18" s="11">
        <f t="shared" si="7"/>
        <v>16490.03607484346</v>
      </c>
      <c r="O18" s="11">
        <f t="shared" si="2"/>
        <v>14630.2040448136</v>
      </c>
      <c r="P18" s="11">
        <f t="shared" si="3"/>
        <v>4287.167814632904</v>
      </c>
      <c r="Q18" s="28">
        <f t="shared" si="8"/>
        <v>0.8332674643198679</v>
      </c>
      <c r="R18" s="28">
        <f t="shared" si="4"/>
        <v>0.7803172809331977</v>
      </c>
      <c r="S18" s="28">
        <f t="shared" si="5"/>
        <v>0.9547429545323844</v>
      </c>
    </row>
    <row r="19" spans="1:19" ht="12.75">
      <c r="A19" s="1">
        <v>85</v>
      </c>
      <c r="B19" s="2">
        <v>20611</v>
      </c>
      <c r="C19" s="26">
        <v>1181666</v>
      </c>
      <c r="D19" s="2">
        <v>57.33184</v>
      </c>
      <c r="E19" s="11">
        <v>15689.81</v>
      </c>
      <c r="F19" s="11">
        <v>13498.11</v>
      </c>
      <c r="G19" s="11">
        <v>2191.7</v>
      </c>
      <c r="H19" s="3">
        <v>0.9796712</v>
      </c>
      <c r="I19" s="3">
        <v>0.9713569</v>
      </c>
      <c r="J19" s="3">
        <v>0.4344585</v>
      </c>
      <c r="K19" s="28">
        <f t="shared" si="6"/>
        <v>0.8814447560038238</v>
      </c>
      <c r="L19" s="28">
        <f t="shared" si="0"/>
        <v>0.8228380291684767</v>
      </c>
      <c r="M19" s="28">
        <f t="shared" si="1"/>
        <v>1.5702428578492014</v>
      </c>
      <c r="N19" s="11">
        <f t="shared" si="7"/>
        <v>16015.383528677785</v>
      </c>
      <c r="O19" s="11">
        <f t="shared" si="2"/>
        <v>13896.138484217285</v>
      </c>
      <c r="P19" s="11">
        <f t="shared" si="3"/>
        <v>5044.670549661244</v>
      </c>
      <c r="Q19" s="28">
        <f t="shared" si="8"/>
        <v>0.8092825244579217</v>
      </c>
      <c r="R19" s="28">
        <f t="shared" si="4"/>
        <v>0.7411651241678737</v>
      </c>
      <c r="S19" s="28">
        <f t="shared" si="5"/>
        <v>1.123437167256886</v>
      </c>
    </row>
    <row r="20" spans="1:21" ht="30" customHeight="1">
      <c r="A20" s="16" t="s">
        <v>42</v>
      </c>
      <c r="B20" s="17">
        <f>SUM(B5:B19)</f>
        <v>837233</v>
      </c>
      <c r="C20" s="27">
        <f>SUM(C5:C19)</f>
        <v>50140144</v>
      </c>
      <c r="D20" s="17">
        <f>C20/B20</f>
        <v>59.88792128356145</v>
      </c>
      <c r="E20" s="14">
        <f aca="true" t="shared" si="9" ref="E20:J20">SUMPRODUCT($C5:$C19,E5:E19)/$C20</f>
        <v>17800.105897881065</v>
      </c>
      <c r="F20" s="14">
        <f t="shared" si="9"/>
        <v>16404.334172109895</v>
      </c>
      <c r="G20" s="14">
        <f t="shared" si="9"/>
        <v>1395.7713541216312</v>
      </c>
      <c r="H20" s="15">
        <f t="shared" si="9"/>
        <v>0.8994673534268348</v>
      </c>
      <c r="I20" s="15">
        <f t="shared" si="9"/>
        <v>0.8749423724707472</v>
      </c>
      <c r="J20" s="15">
        <f t="shared" si="9"/>
        <v>0.31083524697524806</v>
      </c>
      <c r="K20" s="28">
        <f t="shared" si="6"/>
        <v>1</v>
      </c>
      <c r="L20" s="28">
        <f t="shared" si="0"/>
        <v>1</v>
      </c>
      <c r="M20" s="28">
        <f t="shared" si="1"/>
        <v>1</v>
      </c>
      <c r="N20" s="14">
        <f t="shared" si="7"/>
        <v>19789.6075161209</v>
      </c>
      <c r="O20" s="14">
        <f t="shared" si="2"/>
        <v>18749.04529516126</v>
      </c>
      <c r="P20" s="14">
        <f t="shared" si="3"/>
        <v>4490.389580023327</v>
      </c>
      <c r="Q20" s="29">
        <f t="shared" si="8"/>
        <v>1</v>
      </c>
      <c r="R20" s="29">
        <f t="shared" si="4"/>
        <v>1</v>
      </c>
      <c r="S20" s="29">
        <f t="shared" si="5"/>
        <v>1</v>
      </c>
      <c r="T20" s="12"/>
      <c r="U20" s="12"/>
    </row>
    <row r="21" spans="1:21" ht="30" customHeight="1">
      <c r="A21" s="16"/>
      <c r="B21" s="17"/>
      <c r="C21" s="27"/>
      <c r="D21" s="17"/>
      <c r="E21" s="14"/>
      <c r="F21" s="14"/>
      <c r="G21" s="14"/>
      <c r="H21" s="15"/>
      <c r="I21" s="15"/>
      <c r="J21" s="15"/>
      <c r="K21" s="28"/>
      <c r="L21" s="28"/>
      <c r="M21" s="28"/>
      <c r="N21" s="14"/>
      <c r="O21" s="14"/>
      <c r="P21" s="14"/>
      <c r="Q21" s="29"/>
      <c r="R21" s="29"/>
      <c r="S21" s="29"/>
      <c r="T21" s="12"/>
      <c r="U21" s="12"/>
    </row>
    <row r="22" ht="12.75">
      <c r="A22" s="6" t="s">
        <v>44</v>
      </c>
    </row>
    <row r="23" spans="1:19" ht="12.75">
      <c r="A23" s="6" t="s">
        <v>0</v>
      </c>
      <c r="B23" s="6" t="s">
        <v>5</v>
      </c>
      <c r="C23" s="6" t="s">
        <v>1</v>
      </c>
      <c r="D23" s="6" t="s">
        <v>6</v>
      </c>
      <c r="E23" s="6" t="s">
        <v>61</v>
      </c>
      <c r="F23" s="6" t="s">
        <v>62</v>
      </c>
      <c r="G23" s="6" t="s">
        <v>63</v>
      </c>
      <c r="H23" s="6" t="s">
        <v>64</v>
      </c>
      <c r="I23" s="6" t="s">
        <v>65</v>
      </c>
      <c r="J23" s="6" t="s">
        <v>66</v>
      </c>
      <c r="K23" s="6" t="s">
        <v>61</v>
      </c>
      <c r="L23" s="6" t="s">
        <v>62</v>
      </c>
      <c r="M23" s="6" t="s">
        <v>63</v>
      </c>
      <c r="N23" s="6" t="s">
        <v>61</v>
      </c>
      <c r="O23" s="6" t="s">
        <v>62</v>
      </c>
      <c r="P23" s="6" t="s">
        <v>63</v>
      </c>
      <c r="Q23" s="6" t="s">
        <v>61</v>
      </c>
      <c r="R23" s="6" t="s">
        <v>62</v>
      </c>
      <c r="S23" s="6" t="s">
        <v>63</v>
      </c>
    </row>
    <row r="24" spans="1:19" ht="12.75">
      <c r="A24" s="1">
        <v>18</v>
      </c>
      <c r="B24" s="2">
        <v>15969</v>
      </c>
      <c r="C24" s="26">
        <v>730667.1</v>
      </c>
      <c r="D24" s="2">
        <v>45.75534</v>
      </c>
      <c r="E24" s="11">
        <v>3310.129</v>
      </c>
      <c r="F24" s="11">
        <v>3291.822</v>
      </c>
      <c r="G24" s="11">
        <v>18.30682</v>
      </c>
      <c r="H24" s="3">
        <v>0.4351975</v>
      </c>
      <c r="I24" s="3">
        <v>0.4337548</v>
      </c>
      <c r="J24" s="3">
        <v>0.0132684</v>
      </c>
      <c r="K24" s="28">
        <f>E24/E$39</f>
        <v>0.14950276285309835</v>
      </c>
      <c r="L24" s="28">
        <f>F24/F$39</f>
        <v>0.15894638647187917</v>
      </c>
      <c r="M24" s="28">
        <f>G24/G$39</f>
        <v>0.012796106897210387</v>
      </c>
      <c r="N24" s="11">
        <f>E24/H24</f>
        <v>7606.038637630041</v>
      </c>
      <c r="O24" s="11">
        <f aca="true" t="shared" si="10" ref="O24:O39">F24/I24</f>
        <v>7589.1310021237805</v>
      </c>
      <c r="P24" s="11">
        <f aca="true" t="shared" si="11" ref="P24:P39">G24/J24</f>
        <v>1379.7307889421481</v>
      </c>
      <c r="Q24" s="28">
        <f>N24/N$39</f>
        <v>0.3207703140016666</v>
      </c>
      <c r="R24" s="28">
        <f aca="true" t="shared" si="12" ref="R24:R39">O24/O$39</f>
        <v>0.33880138659341463</v>
      </c>
      <c r="S24" s="28">
        <f aca="true" t="shared" si="13" ref="S24:S39">P24/P$39</f>
        <v>0.2950140851469533</v>
      </c>
    </row>
    <row r="25" spans="1:19" ht="12.75">
      <c r="A25" s="1">
        <v>20</v>
      </c>
      <c r="B25" s="2">
        <v>27487</v>
      </c>
      <c r="C25" s="26">
        <v>2000113</v>
      </c>
      <c r="D25" s="2">
        <v>72.76579</v>
      </c>
      <c r="E25" s="11">
        <v>9918.609</v>
      </c>
      <c r="F25" s="11">
        <v>9831.075</v>
      </c>
      <c r="G25" s="11">
        <v>87.53364</v>
      </c>
      <c r="H25" s="3">
        <v>0.8206071</v>
      </c>
      <c r="I25" s="3">
        <v>0.8171001</v>
      </c>
      <c r="J25" s="3">
        <v>0.0520432</v>
      </c>
      <c r="K25" s="28">
        <f aca="true" t="shared" si="14" ref="K25:K39">E25/E$39</f>
        <v>0.44797633239055246</v>
      </c>
      <c r="L25" s="28">
        <f aca="true" t="shared" si="15" ref="L25:L39">F25/F$39</f>
        <v>0.4746957297156498</v>
      </c>
      <c r="M25" s="28">
        <f aca="true" t="shared" si="16" ref="M25:M39">G25/G$39</f>
        <v>0.061184291676103834</v>
      </c>
      <c r="N25" s="11">
        <f aca="true" t="shared" si="17" ref="N25:N39">E25/H25</f>
        <v>12086.915894342128</v>
      </c>
      <c r="O25" s="11">
        <f t="shared" si="10"/>
        <v>12031.665398156236</v>
      </c>
      <c r="P25" s="11">
        <f t="shared" si="11"/>
        <v>1681.9419251698591</v>
      </c>
      <c r="Q25" s="28">
        <f aca="true" t="shared" si="18" ref="Q25:Q39">N25/N$39</f>
        <v>0.5097428492616662</v>
      </c>
      <c r="R25" s="28">
        <f t="shared" si="12"/>
        <v>0.537129339153929</v>
      </c>
      <c r="S25" s="28">
        <f t="shared" si="13"/>
        <v>0.3596328807772201</v>
      </c>
    </row>
    <row r="26" spans="1:19" ht="12.75">
      <c r="A26" s="1">
        <v>25</v>
      </c>
      <c r="B26" s="2">
        <v>17607</v>
      </c>
      <c r="C26" s="26">
        <v>2166284</v>
      </c>
      <c r="D26" s="2">
        <v>123.0354</v>
      </c>
      <c r="E26" s="11">
        <v>16341.18</v>
      </c>
      <c r="F26" s="11">
        <v>16076.61</v>
      </c>
      <c r="G26" s="11">
        <v>264.5703</v>
      </c>
      <c r="H26" s="3">
        <v>0.9521727</v>
      </c>
      <c r="I26" s="3">
        <v>0.946689</v>
      </c>
      <c r="J26" s="3">
        <v>0.1343364</v>
      </c>
      <c r="K26" s="28">
        <f t="shared" si="14"/>
        <v>0.7380532777664537</v>
      </c>
      <c r="L26" s="28">
        <f t="shared" si="15"/>
        <v>0.7762628314099843</v>
      </c>
      <c r="M26" s="28">
        <f t="shared" si="16"/>
        <v>0.18492943289042124</v>
      </c>
      <c r="N26" s="11">
        <f t="shared" si="17"/>
        <v>17161.99172692097</v>
      </c>
      <c r="O26" s="11">
        <f t="shared" si="10"/>
        <v>16981.93387691206</v>
      </c>
      <c r="P26" s="11">
        <f t="shared" si="11"/>
        <v>1969.4609949351031</v>
      </c>
      <c r="Q26" s="28">
        <f t="shared" si="18"/>
        <v>0.7237745871948081</v>
      </c>
      <c r="R26" s="28">
        <f t="shared" si="12"/>
        <v>0.7581240517426038</v>
      </c>
      <c r="S26" s="28">
        <f t="shared" si="13"/>
        <v>0.4211102182468945</v>
      </c>
    </row>
    <row r="27" spans="1:19" ht="12.75">
      <c r="A27" s="1">
        <v>30</v>
      </c>
      <c r="B27" s="2">
        <v>28353</v>
      </c>
      <c r="C27" s="26">
        <v>2401396</v>
      </c>
      <c r="D27" s="2">
        <v>84.69638</v>
      </c>
      <c r="E27" s="11">
        <v>20509.37</v>
      </c>
      <c r="F27" s="11">
        <v>19929.65</v>
      </c>
      <c r="G27" s="11">
        <v>579.7153</v>
      </c>
      <c r="H27" s="3">
        <v>0.9495863</v>
      </c>
      <c r="I27" s="3">
        <v>0.9426696</v>
      </c>
      <c r="J27" s="3">
        <v>0.2120744</v>
      </c>
      <c r="K27" s="28">
        <f t="shared" si="14"/>
        <v>0.9263105695809588</v>
      </c>
      <c r="L27" s="28">
        <f t="shared" si="15"/>
        <v>0.9623077587880775</v>
      </c>
      <c r="M27" s="28">
        <f t="shared" si="16"/>
        <v>0.4052095857581158</v>
      </c>
      <c r="N27" s="11">
        <f t="shared" si="17"/>
        <v>21598.21598100141</v>
      </c>
      <c r="O27" s="11">
        <f t="shared" si="10"/>
        <v>21141.712854641755</v>
      </c>
      <c r="P27" s="11">
        <f t="shared" si="11"/>
        <v>2733.546811873569</v>
      </c>
      <c r="Q27" s="28">
        <f t="shared" si="18"/>
        <v>0.9108639664050333</v>
      </c>
      <c r="R27" s="28">
        <f t="shared" si="12"/>
        <v>0.9438289611956836</v>
      </c>
      <c r="S27" s="28">
        <f t="shared" si="13"/>
        <v>0.5844870741266509</v>
      </c>
    </row>
    <row r="28" spans="1:19" ht="12.75">
      <c r="A28" s="1">
        <v>35</v>
      </c>
      <c r="B28" s="2">
        <v>39403</v>
      </c>
      <c r="C28" s="26">
        <v>2338315</v>
      </c>
      <c r="D28" s="2">
        <v>59.34357</v>
      </c>
      <c r="E28" s="11">
        <v>24000</v>
      </c>
      <c r="F28" s="11">
        <v>22941.15</v>
      </c>
      <c r="G28" s="11">
        <v>1058.851</v>
      </c>
      <c r="H28" s="3">
        <v>0.9533167</v>
      </c>
      <c r="I28" s="3">
        <v>0.9431952</v>
      </c>
      <c r="J28" s="3">
        <v>0.2628554</v>
      </c>
      <c r="K28" s="28">
        <f t="shared" si="14"/>
        <v>1.083965702990536</v>
      </c>
      <c r="L28" s="28">
        <f t="shared" si="15"/>
        <v>1.1077187326682156</v>
      </c>
      <c r="M28" s="28">
        <f t="shared" si="16"/>
        <v>0.7401160105478788</v>
      </c>
      <c r="N28" s="11">
        <f t="shared" si="17"/>
        <v>25175.26442157155</v>
      </c>
      <c r="O28" s="11">
        <f t="shared" si="10"/>
        <v>24322.801897210673</v>
      </c>
      <c r="P28" s="11">
        <f t="shared" si="11"/>
        <v>4028.264209143126</v>
      </c>
      <c r="Q28" s="28">
        <f t="shared" si="18"/>
        <v>1.0617192284075383</v>
      </c>
      <c r="R28" s="28">
        <f t="shared" si="12"/>
        <v>1.0858422402124595</v>
      </c>
      <c r="S28" s="28">
        <f t="shared" si="13"/>
        <v>0.8613235929175195</v>
      </c>
    </row>
    <row r="29" spans="1:19" ht="12.75">
      <c r="A29" s="1">
        <v>40</v>
      </c>
      <c r="B29" s="2">
        <v>48572</v>
      </c>
      <c r="C29" s="26">
        <v>2347421</v>
      </c>
      <c r="D29" s="2">
        <v>48.32869</v>
      </c>
      <c r="E29" s="11">
        <v>26552.93</v>
      </c>
      <c r="F29" s="11">
        <v>25063.8</v>
      </c>
      <c r="G29" s="11">
        <v>1489.13</v>
      </c>
      <c r="H29" s="3">
        <v>0.9507657</v>
      </c>
      <c r="I29" s="3">
        <v>0.9386309</v>
      </c>
      <c r="J29" s="3">
        <v>0.2916012</v>
      </c>
      <c r="K29" s="28">
        <f t="shared" si="14"/>
        <v>1.1992693930795206</v>
      </c>
      <c r="L29" s="28">
        <f t="shared" si="15"/>
        <v>1.2102113787604205</v>
      </c>
      <c r="M29" s="28">
        <f t="shared" si="16"/>
        <v>1.0408725635496994</v>
      </c>
      <c r="N29" s="11">
        <f t="shared" si="17"/>
        <v>27927.942709754883</v>
      </c>
      <c r="O29" s="11">
        <f t="shared" si="10"/>
        <v>26702.508941480617</v>
      </c>
      <c r="P29" s="11">
        <f t="shared" si="11"/>
        <v>5106.734814534371</v>
      </c>
      <c r="Q29" s="28">
        <f t="shared" si="18"/>
        <v>1.1778082362226845</v>
      </c>
      <c r="R29" s="28">
        <f t="shared" si="12"/>
        <v>1.1920794426087744</v>
      </c>
      <c r="S29" s="28">
        <f t="shared" si="13"/>
        <v>1.0919222151685444</v>
      </c>
    </row>
    <row r="30" spans="1:19" ht="12.75">
      <c r="A30" s="1">
        <v>45</v>
      </c>
      <c r="B30" s="2">
        <v>48377</v>
      </c>
      <c r="C30" s="26">
        <v>2227514</v>
      </c>
      <c r="D30" s="2">
        <v>46.0449</v>
      </c>
      <c r="E30" s="11">
        <v>28005.15</v>
      </c>
      <c r="F30" s="11">
        <v>26184.93</v>
      </c>
      <c r="G30" s="11">
        <v>1820.227</v>
      </c>
      <c r="H30" s="3">
        <v>0.9515395</v>
      </c>
      <c r="I30" s="3">
        <v>0.9364394</v>
      </c>
      <c r="J30" s="3">
        <v>0.3363102</v>
      </c>
      <c r="K30" s="28">
        <f t="shared" si="14"/>
        <v>1.2648592544627255</v>
      </c>
      <c r="L30" s="28">
        <f t="shared" si="15"/>
        <v>1.2643454000608487</v>
      </c>
      <c r="M30" s="28">
        <f t="shared" si="16"/>
        <v>1.27230285047805</v>
      </c>
      <c r="N30" s="11">
        <f t="shared" si="17"/>
        <v>29431.410887304206</v>
      </c>
      <c r="O30" s="11">
        <f t="shared" si="10"/>
        <v>27962.225852521795</v>
      </c>
      <c r="P30" s="11">
        <f t="shared" si="11"/>
        <v>5412.345507213281</v>
      </c>
      <c r="Q30" s="28">
        <f t="shared" si="18"/>
        <v>1.2412141670074746</v>
      </c>
      <c r="R30" s="28">
        <f t="shared" si="12"/>
        <v>1.2483169533404364</v>
      </c>
      <c r="S30" s="28">
        <f t="shared" si="13"/>
        <v>1.1572679040771185</v>
      </c>
    </row>
    <row r="31" spans="1:19" ht="12.75">
      <c r="A31" s="1">
        <v>50</v>
      </c>
      <c r="B31" s="2">
        <v>45308</v>
      </c>
      <c r="C31" s="26">
        <v>2150966</v>
      </c>
      <c r="D31" s="2">
        <v>47.47431</v>
      </c>
      <c r="E31" s="11">
        <v>28873.13</v>
      </c>
      <c r="F31" s="11">
        <v>26758.82</v>
      </c>
      <c r="G31" s="11">
        <v>2114.312</v>
      </c>
      <c r="H31" s="3">
        <v>0.9510173</v>
      </c>
      <c r="I31" s="3">
        <v>0.9352028</v>
      </c>
      <c r="J31" s="3">
        <v>0.3741922</v>
      </c>
      <c r="K31" s="28">
        <f t="shared" si="14"/>
        <v>1.3040617774161307</v>
      </c>
      <c r="L31" s="28">
        <f t="shared" si="15"/>
        <v>1.2920558114173397</v>
      </c>
      <c r="M31" s="28">
        <f t="shared" si="16"/>
        <v>1.477862477811804</v>
      </c>
      <c r="N31" s="11">
        <f t="shared" si="17"/>
        <v>30360.25737912444</v>
      </c>
      <c r="O31" s="11">
        <f t="shared" si="10"/>
        <v>28612.852741672716</v>
      </c>
      <c r="P31" s="11">
        <f t="shared" si="11"/>
        <v>5650.336912420943</v>
      </c>
      <c r="Q31" s="28">
        <f t="shared" si="18"/>
        <v>1.280386513485767</v>
      </c>
      <c r="R31" s="28">
        <f t="shared" si="12"/>
        <v>1.2773628733723352</v>
      </c>
      <c r="S31" s="28">
        <f t="shared" si="13"/>
        <v>1.208155234593246</v>
      </c>
    </row>
    <row r="32" spans="1:19" ht="12.75">
      <c r="A32" s="1">
        <v>55</v>
      </c>
      <c r="B32" s="2">
        <v>45313</v>
      </c>
      <c r="C32" s="26">
        <v>2095747</v>
      </c>
      <c r="D32" s="2">
        <v>46.25047</v>
      </c>
      <c r="E32" s="11">
        <v>28343.85</v>
      </c>
      <c r="F32" s="11">
        <v>25844.11</v>
      </c>
      <c r="G32" s="11">
        <v>2499.736</v>
      </c>
      <c r="H32" s="3">
        <v>0.9569864</v>
      </c>
      <c r="I32" s="3">
        <v>0.9393179</v>
      </c>
      <c r="J32" s="3">
        <v>0.4284269</v>
      </c>
      <c r="K32" s="28">
        <f t="shared" si="14"/>
        <v>1.2801567204461795</v>
      </c>
      <c r="L32" s="28">
        <f t="shared" si="15"/>
        <v>1.2478888275495326</v>
      </c>
      <c r="M32" s="28">
        <f t="shared" si="16"/>
        <v>1.7472662685712268</v>
      </c>
      <c r="N32" s="11">
        <f t="shared" si="17"/>
        <v>29617.8190202076</v>
      </c>
      <c r="O32" s="11">
        <f t="shared" si="10"/>
        <v>27513.699036290058</v>
      </c>
      <c r="P32" s="11">
        <f t="shared" si="11"/>
        <v>5834.6849835993025</v>
      </c>
      <c r="Q32" s="28">
        <f t="shared" si="18"/>
        <v>1.249075577943262</v>
      </c>
      <c r="R32" s="28">
        <f t="shared" si="12"/>
        <v>1.2282933818378339</v>
      </c>
      <c r="S32" s="28">
        <f t="shared" si="13"/>
        <v>1.2475725455666329</v>
      </c>
    </row>
    <row r="33" spans="1:19" ht="12.75">
      <c r="A33" s="1">
        <v>60</v>
      </c>
      <c r="B33" s="2">
        <v>27906</v>
      </c>
      <c r="C33" s="26">
        <v>1417281</v>
      </c>
      <c r="D33" s="2">
        <v>50.7877</v>
      </c>
      <c r="E33" s="11">
        <v>25302.48</v>
      </c>
      <c r="F33" s="11">
        <v>22724.38</v>
      </c>
      <c r="G33" s="11">
        <v>2578.096</v>
      </c>
      <c r="H33" s="3">
        <v>0.9792299</v>
      </c>
      <c r="I33" s="3">
        <v>0.9694446</v>
      </c>
      <c r="J33" s="3">
        <v>0.4588286</v>
      </c>
      <c r="K33" s="28">
        <f t="shared" si="14"/>
        <v>1.1427925216918324</v>
      </c>
      <c r="L33" s="28">
        <f t="shared" si="15"/>
        <v>1.0972519430922576</v>
      </c>
      <c r="M33" s="28">
        <f t="shared" si="16"/>
        <v>1.8020383664268569</v>
      </c>
      <c r="N33" s="11">
        <f t="shared" si="17"/>
        <v>25839.161978203483</v>
      </c>
      <c r="O33" s="11">
        <f t="shared" si="10"/>
        <v>23440.61744219319</v>
      </c>
      <c r="P33" s="11">
        <f t="shared" si="11"/>
        <v>5618.86508382433</v>
      </c>
      <c r="Q33" s="28">
        <f t="shared" si="18"/>
        <v>1.0897178539538477</v>
      </c>
      <c r="R33" s="28">
        <f t="shared" si="12"/>
        <v>1.0464589015261938</v>
      </c>
      <c r="S33" s="28">
        <f t="shared" si="13"/>
        <v>1.201425927111132</v>
      </c>
    </row>
    <row r="34" spans="1:19" ht="12.75">
      <c r="A34" s="1">
        <v>65</v>
      </c>
      <c r="B34" s="2">
        <v>19589</v>
      </c>
      <c r="C34" s="26">
        <v>1254819</v>
      </c>
      <c r="D34" s="2">
        <v>64.05733</v>
      </c>
      <c r="E34" s="11">
        <v>21959.4</v>
      </c>
      <c r="F34" s="11">
        <v>19743.78</v>
      </c>
      <c r="G34" s="11">
        <v>2215.62</v>
      </c>
      <c r="H34" s="3">
        <v>0.9891425</v>
      </c>
      <c r="I34" s="3">
        <v>0.9851496</v>
      </c>
      <c r="J34" s="3">
        <v>0.4732108</v>
      </c>
      <c r="K34" s="28">
        <f t="shared" si="14"/>
        <v>0.9918015190937658</v>
      </c>
      <c r="L34" s="28">
        <f t="shared" si="15"/>
        <v>0.9533329828574444</v>
      </c>
      <c r="M34" s="28">
        <f t="shared" si="16"/>
        <v>1.548674776045063</v>
      </c>
      <c r="N34" s="11">
        <f t="shared" si="17"/>
        <v>22200.441291320512</v>
      </c>
      <c r="O34" s="11">
        <f t="shared" si="10"/>
        <v>20041.402848866812</v>
      </c>
      <c r="P34" s="11">
        <f t="shared" si="11"/>
        <v>4682.099394181198</v>
      </c>
      <c r="Q34" s="28">
        <f t="shared" si="18"/>
        <v>0.936261681443594</v>
      </c>
      <c r="R34" s="28">
        <f t="shared" si="12"/>
        <v>0.8947078489715257</v>
      </c>
      <c r="S34" s="28">
        <f t="shared" si="13"/>
        <v>1.00112665486034</v>
      </c>
    </row>
    <row r="35" spans="1:19" ht="12.75">
      <c r="A35" s="1">
        <v>70</v>
      </c>
      <c r="B35" s="2">
        <v>16326</v>
      </c>
      <c r="C35" s="26">
        <v>1137284</v>
      </c>
      <c r="D35" s="2">
        <v>69.66091</v>
      </c>
      <c r="E35" s="11">
        <v>20611.93</v>
      </c>
      <c r="F35" s="11">
        <v>18670.97</v>
      </c>
      <c r="G35" s="11">
        <v>1940.96</v>
      </c>
      <c r="H35" s="3">
        <v>0.9887411</v>
      </c>
      <c r="I35" s="3">
        <v>0.9857608</v>
      </c>
      <c r="J35" s="3">
        <v>0.477408</v>
      </c>
      <c r="K35" s="28">
        <f t="shared" si="14"/>
        <v>0.9309427163517384</v>
      </c>
      <c r="L35" s="28">
        <f t="shared" si="15"/>
        <v>0.9015321039305473</v>
      </c>
      <c r="M35" s="28">
        <f t="shared" si="16"/>
        <v>1.3566928414224575</v>
      </c>
      <c r="N35" s="11">
        <f t="shared" si="17"/>
        <v>20846.640237773063</v>
      </c>
      <c r="O35" s="11">
        <f t="shared" si="10"/>
        <v>18940.669988094476</v>
      </c>
      <c r="P35" s="11">
        <f t="shared" si="11"/>
        <v>4065.6210201756153</v>
      </c>
      <c r="Q35" s="28">
        <f t="shared" si="18"/>
        <v>0.8791676789369866</v>
      </c>
      <c r="R35" s="28">
        <f t="shared" si="12"/>
        <v>0.8455678592422351</v>
      </c>
      <c r="S35" s="28">
        <f t="shared" si="13"/>
        <v>0.8693112275481906</v>
      </c>
    </row>
    <row r="36" spans="1:19" ht="12.75">
      <c r="A36" s="1">
        <v>75</v>
      </c>
      <c r="B36" s="2">
        <v>14025</v>
      </c>
      <c r="C36" s="26">
        <v>917236.5</v>
      </c>
      <c r="D36" s="2">
        <v>65.40011</v>
      </c>
      <c r="E36" s="11">
        <v>20593.89</v>
      </c>
      <c r="F36" s="11">
        <v>18620.46</v>
      </c>
      <c r="G36" s="11">
        <v>1973.435</v>
      </c>
      <c r="H36" s="3">
        <v>0.9923029</v>
      </c>
      <c r="I36" s="3">
        <v>0.9891942</v>
      </c>
      <c r="J36" s="3">
        <v>0.4942814</v>
      </c>
      <c r="K36" s="28">
        <f t="shared" si="14"/>
        <v>0.9301279354649905</v>
      </c>
      <c r="L36" s="28">
        <f t="shared" si="15"/>
        <v>0.8990932169006001</v>
      </c>
      <c r="M36" s="28">
        <f t="shared" si="16"/>
        <v>1.379392227306347</v>
      </c>
      <c r="N36" s="11">
        <f t="shared" si="17"/>
        <v>20753.632786924234</v>
      </c>
      <c r="O36" s="11">
        <f t="shared" si="10"/>
        <v>18823.86694139533</v>
      </c>
      <c r="P36" s="11">
        <f t="shared" si="11"/>
        <v>3992.5334030372173</v>
      </c>
      <c r="Q36" s="28">
        <f t="shared" si="18"/>
        <v>0.8752452653607956</v>
      </c>
      <c r="R36" s="28">
        <f t="shared" si="12"/>
        <v>0.8403534237332245</v>
      </c>
      <c r="S36" s="28">
        <f t="shared" si="13"/>
        <v>0.8536836307166471</v>
      </c>
    </row>
    <row r="37" spans="1:19" ht="12.75">
      <c r="A37" s="1">
        <v>80</v>
      </c>
      <c r="B37" s="2">
        <v>10873</v>
      </c>
      <c r="C37" s="26">
        <v>610294.1</v>
      </c>
      <c r="D37" s="2">
        <v>56.12932</v>
      </c>
      <c r="E37" s="11">
        <v>20596.11</v>
      </c>
      <c r="F37" s="11">
        <v>18454.37</v>
      </c>
      <c r="G37" s="11">
        <v>2141.734</v>
      </c>
      <c r="H37" s="3">
        <v>0.9912012</v>
      </c>
      <c r="I37" s="3">
        <v>0.9880093</v>
      </c>
      <c r="J37" s="3">
        <v>0.510828</v>
      </c>
      <c r="K37" s="28">
        <f t="shared" si="14"/>
        <v>0.9302282022925171</v>
      </c>
      <c r="L37" s="28">
        <f t="shared" si="15"/>
        <v>0.8910735228439001</v>
      </c>
      <c r="M37" s="28">
        <f t="shared" si="16"/>
        <v>1.4970299161399956</v>
      </c>
      <c r="N37" s="11">
        <f t="shared" si="17"/>
        <v>20778.939734939788</v>
      </c>
      <c r="O37" s="11">
        <f t="shared" si="10"/>
        <v>18678.336327400964</v>
      </c>
      <c r="P37" s="11">
        <f t="shared" si="11"/>
        <v>4192.671505868903</v>
      </c>
      <c r="Q37" s="28">
        <f t="shared" si="18"/>
        <v>0.8763125380960682</v>
      </c>
      <c r="R37" s="28">
        <f t="shared" si="12"/>
        <v>0.8338565041518807</v>
      </c>
      <c r="S37" s="28">
        <f t="shared" si="13"/>
        <v>0.8964771668058185</v>
      </c>
    </row>
    <row r="38" spans="1:19" ht="12.75">
      <c r="A38" s="1">
        <v>85</v>
      </c>
      <c r="B38" s="2">
        <v>7304</v>
      </c>
      <c r="C38" s="26">
        <v>330915.7</v>
      </c>
      <c r="D38" s="2">
        <v>45.30609</v>
      </c>
      <c r="E38" s="11">
        <v>19987.69</v>
      </c>
      <c r="F38" s="11">
        <v>17596.79</v>
      </c>
      <c r="G38" s="11">
        <v>2390.898</v>
      </c>
      <c r="H38" s="3">
        <v>0.9828196</v>
      </c>
      <c r="I38" s="3">
        <v>0.97947</v>
      </c>
      <c r="J38" s="3">
        <v>0.4926389</v>
      </c>
      <c r="K38" s="28">
        <f t="shared" si="14"/>
        <v>0.9027487684169545</v>
      </c>
      <c r="L38" s="28">
        <f t="shared" si="15"/>
        <v>0.8496650742368509</v>
      </c>
      <c r="M38" s="28">
        <f t="shared" si="16"/>
        <v>1.6711906485302486</v>
      </c>
      <c r="N38" s="11">
        <f t="shared" si="17"/>
        <v>20337.089329516828</v>
      </c>
      <c r="O38" s="11">
        <f t="shared" si="10"/>
        <v>17965.624266184775</v>
      </c>
      <c r="P38" s="11">
        <f t="shared" si="11"/>
        <v>4853.246465108623</v>
      </c>
      <c r="Q38" s="28">
        <f t="shared" si="18"/>
        <v>0.857678331771099</v>
      </c>
      <c r="R38" s="28">
        <f t="shared" si="12"/>
        <v>0.8020389173274707</v>
      </c>
      <c r="S38" s="28">
        <f t="shared" si="13"/>
        <v>1.0377213275022013</v>
      </c>
    </row>
    <row r="39" spans="1:19" ht="12.75">
      <c r="A39" s="16" t="s">
        <v>42</v>
      </c>
      <c r="B39" s="17">
        <f>SUM(B24:B38)</f>
        <v>412412</v>
      </c>
      <c r="C39" s="27">
        <f>SUM(C24:C38)</f>
        <v>24126253.400000002</v>
      </c>
      <c r="D39" s="17">
        <f>C39/B39</f>
        <v>58.50036710861954</v>
      </c>
      <c r="E39" s="14">
        <f aca="true" t="shared" si="19" ref="E39:J39">SUMPRODUCT($C24:$C38,E24:E38)/$C39</f>
        <v>22140.921925653896</v>
      </c>
      <c r="F39" s="14">
        <f t="shared" si="19"/>
        <v>20710.266355016443</v>
      </c>
      <c r="G39" s="14">
        <f t="shared" si="19"/>
        <v>1430.655444429819</v>
      </c>
      <c r="H39" s="15">
        <f t="shared" si="19"/>
        <v>0.9337515646109494</v>
      </c>
      <c r="I39" s="15">
        <f t="shared" si="19"/>
        <v>0.9245679058425709</v>
      </c>
      <c r="J39" s="15">
        <f t="shared" si="19"/>
        <v>0.3059027967496259</v>
      </c>
      <c r="K39" s="29">
        <f t="shared" si="14"/>
        <v>1</v>
      </c>
      <c r="L39" s="29">
        <f t="shared" si="15"/>
        <v>1</v>
      </c>
      <c r="M39" s="29">
        <f t="shared" si="16"/>
        <v>1</v>
      </c>
      <c r="N39" s="14">
        <f t="shared" si="17"/>
        <v>23711.790978234112</v>
      </c>
      <c r="O39" s="14">
        <f t="shared" si="10"/>
        <v>22399.940798445634</v>
      </c>
      <c r="P39" s="14">
        <f t="shared" si="11"/>
        <v>4676.830220682082</v>
      </c>
      <c r="Q39" s="29">
        <f t="shared" si="18"/>
        <v>1</v>
      </c>
      <c r="R39" s="29">
        <f t="shared" si="12"/>
        <v>1</v>
      </c>
      <c r="S39" s="29">
        <f t="shared" si="13"/>
        <v>1</v>
      </c>
    </row>
    <row r="41" ht="12.75">
      <c r="A41" s="6" t="s">
        <v>43</v>
      </c>
    </row>
    <row r="42" spans="1:19" ht="12.75">
      <c r="A42" s="6" t="s">
        <v>0</v>
      </c>
      <c r="B42" s="6" t="s">
        <v>5</v>
      </c>
      <c r="C42" s="6" t="s">
        <v>1</v>
      </c>
      <c r="D42" s="6" t="s">
        <v>6</v>
      </c>
      <c r="E42" s="6" t="s">
        <v>61</v>
      </c>
      <c r="F42" s="6" t="s">
        <v>62</v>
      </c>
      <c r="G42" s="6" t="s">
        <v>63</v>
      </c>
      <c r="H42" s="6" t="s">
        <v>64</v>
      </c>
      <c r="I42" s="6" t="s">
        <v>65</v>
      </c>
      <c r="J42" s="6" t="s">
        <v>66</v>
      </c>
      <c r="K42" s="6" t="s">
        <v>61</v>
      </c>
      <c r="L42" s="6" t="s">
        <v>62</v>
      </c>
      <c r="M42" s="6" t="s">
        <v>63</v>
      </c>
      <c r="N42" s="6" t="s">
        <v>61</v>
      </c>
      <c r="O42" s="6" t="s">
        <v>62</v>
      </c>
      <c r="P42" s="6" t="s">
        <v>63</v>
      </c>
      <c r="Q42" s="6" t="s">
        <v>61</v>
      </c>
      <c r="R42" s="6" t="s">
        <v>62</v>
      </c>
      <c r="S42" s="6" t="s">
        <v>63</v>
      </c>
    </row>
    <row r="43" spans="1:19" ht="12.75">
      <c r="A43" s="1">
        <v>18</v>
      </c>
      <c r="B43" s="2">
        <v>16122</v>
      </c>
      <c r="C43" s="26">
        <v>703364.9</v>
      </c>
      <c r="D43" s="2">
        <v>43.62764</v>
      </c>
      <c r="E43" s="11">
        <v>1810.587</v>
      </c>
      <c r="F43" s="11">
        <v>1792.163</v>
      </c>
      <c r="G43" s="11">
        <v>18.42355</v>
      </c>
      <c r="H43" s="3">
        <v>0.3591365</v>
      </c>
      <c r="I43" s="3">
        <v>0.3577117</v>
      </c>
      <c r="J43" s="3">
        <v>0.0106176</v>
      </c>
      <c r="K43" s="28">
        <f>E43/E$58</f>
        <v>0.1314470648663757</v>
      </c>
      <c r="L43" s="28">
        <f aca="true" t="shared" si="20" ref="L43:L58">F43/F$58</f>
        <v>0.14440289818138632</v>
      </c>
      <c r="M43" s="28">
        <f aca="true" t="shared" si="21" ref="M43:M58">G43/G$58</f>
        <v>0.013512763154869796</v>
      </c>
      <c r="N43" s="11">
        <f>E43/H43</f>
        <v>5041.5009334890765</v>
      </c>
      <c r="O43" s="11">
        <f aca="true" t="shared" si="22" ref="O43:O58">F43/I43</f>
        <v>5010.076550473467</v>
      </c>
      <c r="P43" s="11">
        <f aca="true" t="shared" si="23" ref="P43:P58">G43/J43</f>
        <v>1735.1896850512355</v>
      </c>
      <c r="Q43" s="28">
        <f>N43/N$58</f>
        <v>0.3175750561955195</v>
      </c>
      <c r="R43" s="28">
        <f aca="true" t="shared" si="24" ref="R43:R58">O43/O$58</f>
        <v>0.334621803878271</v>
      </c>
      <c r="S43" s="28">
        <f aca="true" t="shared" si="25" ref="S43:S58">P43/P$58</f>
        <v>0.4014144224449235</v>
      </c>
    </row>
    <row r="44" spans="1:19" ht="12.75">
      <c r="A44" s="1">
        <v>20</v>
      </c>
      <c r="B44" s="2">
        <v>28354</v>
      </c>
      <c r="C44" s="26">
        <v>1966264</v>
      </c>
      <c r="D44" s="2">
        <v>69.34697</v>
      </c>
      <c r="E44" s="11">
        <v>7629.374</v>
      </c>
      <c r="F44" s="11">
        <v>7541.382</v>
      </c>
      <c r="G44" s="11">
        <v>87.99191</v>
      </c>
      <c r="H44" s="3">
        <v>0.7621606</v>
      </c>
      <c r="I44" s="3">
        <v>0.7580804</v>
      </c>
      <c r="J44" s="3">
        <v>0.0473043</v>
      </c>
      <c r="K44" s="28">
        <f aca="true" t="shared" si="26" ref="K44:K58">E44/E$58</f>
        <v>0.5538860154567774</v>
      </c>
      <c r="L44" s="28">
        <f t="shared" si="20"/>
        <v>0.6076441802966246</v>
      </c>
      <c r="M44" s="28">
        <f t="shared" si="21"/>
        <v>0.06453771609568293</v>
      </c>
      <c r="N44" s="11">
        <f aca="true" t="shared" si="27" ref="N44:N58">E44/H44</f>
        <v>10010.192077627733</v>
      </c>
      <c r="O44" s="11">
        <f t="shared" si="22"/>
        <v>9947.997600254537</v>
      </c>
      <c r="P44" s="11">
        <f t="shared" si="23"/>
        <v>1860.124978067533</v>
      </c>
      <c r="Q44" s="28">
        <f aca="true" t="shared" si="28" ref="Q44:Q58">N44/N$58</f>
        <v>0.6305636661621099</v>
      </c>
      <c r="R44" s="28">
        <f t="shared" si="24"/>
        <v>0.664424359276367</v>
      </c>
      <c r="S44" s="28">
        <f t="shared" si="25"/>
        <v>0.4303166392579767</v>
      </c>
    </row>
    <row r="45" spans="1:19" ht="12.75">
      <c r="A45" s="1">
        <v>25</v>
      </c>
      <c r="B45" s="2">
        <v>18223</v>
      </c>
      <c r="C45" s="26">
        <v>2058075</v>
      </c>
      <c r="D45" s="2">
        <v>112.9383</v>
      </c>
      <c r="E45" s="11">
        <v>12490.48</v>
      </c>
      <c r="F45" s="11">
        <v>12231.77</v>
      </c>
      <c r="G45" s="11">
        <v>258.7076</v>
      </c>
      <c r="H45" s="3">
        <v>0.8608668</v>
      </c>
      <c r="I45" s="3">
        <v>0.8496666</v>
      </c>
      <c r="J45" s="3">
        <v>0.1404472</v>
      </c>
      <c r="K45" s="28">
        <f t="shared" si="26"/>
        <v>0.9067981460002575</v>
      </c>
      <c r="L45" s="28">
        <f t="shared" si="20"/>
        <v>0.9855705300735123</v>
      </c>
      <c r="M45" s="28">
        <f t="shared" si="21"/>
        <v>0.18974923536260893</v>
      </c>
      <c r="N45" s="11">
        <f t="shared" si="27"/>
        <v>14509.19003962053</v>
      </c>
      <c r="O45" s="11">
        <f t="shared" si="22"/>
        <v>14395.964252331443</v>
      </c>
      <c r="P45" s="11">
        <f t="shared" si="23"/>
        <v>1842.027466549707</v>
      </c>
      <c r="Q45" s="28">
        <f t="shared" si="28"/>
        <v>0.9139652859282655</v>
      </c>
      <c r="R45" s="28">
        <f t="shared" si="24"/>
        <v>0.961502978677444</v>
      </c>
      <c r="S45" s="28">
        <f t="shared" si="25"/>
        <v>0.4261300064095893</v>
      </c>
    </row>
    <row r="46" spans="1:19" ht="12.75">
      <c r="A46" s="1">
        <v>30</v>
      </c>
      <c r="B46" s="2">
        <v>30454</v>
      </c>
      <c r="C46" s="26">
        <v>2270898</v>
      </c>
      <c r="D46" s="2">
        <v>74.56814</v>
      </c>
      <c r="E46" s="11">
        <v>13949.61</v>
      </c>
      <c r="F46" s="11">
        <v>13361.94</v>
      </c>
      <c r="G46" s="11">
        <v>587.6776</v>
      </c>
      <c r="H46" s="3">
        <v>0.8528382</v>
      </c>
      <c r="I46" s="3">
        <v>0.8268399</v>
      </c>
      <c r="J46" s="3">
        <v>0.2143391</v>
      </c>
      <c r="K46" s="28">
        <f t="shared" si="26"/>
        <v>1.012729733799394</v>
      </c>
      <c r="L46" s="28">
        <f t="shared" si="20"/>
        <v>1.0766335770383573</v>
      </c>
      <c r="M46" s="28">
        <f t="shared" si="21"/>
        <v>0.4310324676960906</v>
      </c>
      <c r="N46" s="11">
        <f t="shared" si="27"/>
        <v>16356.68993251006</v>
      </c>
      <c r="O46" s="11">
        <f t="shared" si="22"/>
        <v>16160.250611998768</v>
      </c>
      <c r="P46" s="11">
        <f t="shared" si="23"/>
        <v>2741.812389806619</v>
      </c>
      <c r="Q46" s="28">
        <f t="shared" si="28"/>
        <v>1.0303433031191813</v>
      </c>
      <c r="R46" s="28">
        <f t="shared" si="24"/>
        <v>1.0793392389186007</v>
      </c>
      <c r="S46" s="28">
        <f t="shared" si="25"/>
        <v>0.634283990037701</v>
      </c>
    </row>
    <row r="47" spans="1:19" ht="12.75">
      <c r="A47" s="1">
        <v>35</v>
      </c>
      <c r="B47" s="2">
        <v>42414</v>
      </c>
      <c r="C47" s="26">
        <v>2346413</v>
      </c>
      <c r="D47" s="2">
        <v>55.32167</v>
      </c>
      <c r="E47" s="11">
        <v>14795.86</v>
      </c>
      <c r="F47" s="11">
        <v>13808.34</v>
      </c>
      <c r="G47" s="11">
        <v>987.5245</v>
      </c>
      <c r="H47" s="3">
        <v>0.8593679</v>
      </c>
      <c r="I47" s="3">
        <v>0.8230429</v>
      </c>
      <c r="J47" s="3">
        <v>0.258203</v>
      </c>
      <c r="K47" s="28">
        <f t="shared" si="26"/>
        <v>1.0741667587217922</v>
      </c>
      <c r="L47" s="28">
        <f t="shared" si="20"/>
        <v>1.1126020987343026</v>
      </c>
      <c r="M47" s="28">
        <f t="shared" si="21"/>
        <v>0.7243004023725731</v>
      </c>
      <c r="N47" s="11">
        <f t="shared" si="27"/>
        <v>17217.142972177575</v>
      </c>
      <c r="O47" s="11">
        <f t="shared" si="22"/>
        <v>16777.18135956218</v>
      </c>
      <c r="P47" s="11">
        <f t="shared" si="23"/>
        <v>3824.6050588103158</v>
      </c>
      <c r="Q47" s="28">
        <f t="shared" si="28"/>
        <v>1.0845451025497532</v>
      </c>
      <c r="R47" s="28">
        <f t="shared" si="24"/>
        <v>1.1205438946834174</v>
      </c>
      <c r="S47" s="28">
        <f t="shared" si="25"/>
        <v>0.8847745257988573</v>
      </c>
    </row>
    <row r="48" spans="1:19" ht="12.75">
      <c r="A48" s="1">
        <v>40</v>
      </c>
      <c r="B48" s="2">
        <v>49085</v>
      </c>
      <c r="C48" s="26">
        <v>2393729</v>
      </c>
      <c r="D48" s="2">
        <v>48.76701</v>
      </c>
      <c r="E48" s="11">
        <v>16119.96</v>
      </c>
      <c r="F48" s="11">
        <v>14781.27</v>
      </c>
      <c r="G48" s="11">
        <v>1338.696</v>
      </c>
      <c r="H48" s="3">
        <v>0.8759539</v>
      </c>
      <c r="I48" s="3">
        <v>0.832894</v>
      </c>
      <c r="J48" s="3">
        <v>0.2963666</v>
      </c>
      <c r="K48" s="28">
        <f t="shared" si="26"/>
        <v>1.1702952842163241</v>
      </c>
      <c r="L48" s="28">
        <f t="shared" si="20"/>
        <v>1.1909955884601904</v>
      </c>
      <c r="M48" s="28">
        <f t="shared" si="21"/>
        <v>0.9818673374225693</v>
      </c>
      <c r="N48" s="11">
        <f t="shared" si="27"/>
        <v>18402.749277102368</v>
      </c>
      <c r="O48" s="11">
        <f t="shared" si="22"/>
        <v>17746.88015521783</v>
      </c>
      <c r="P48" s="11">
        <f t="shared" si="23"/>
        <v>4517.027222365813</v>
      </c>
      <c r="Q48" s="28">
        <f t="shared" si="28"/>
        <v>1.159229009957398</v>
      </c>
      <c r="R48" s="28">
        <f t="shared" si="24"/>
        <v>1.1853098432576394</v>
      </c>
      <c r="S48" s="28">
        <f t="shared" si="25"/>
        <v>1.04495772955245</v>
      </c>
    </row>
    <row r="49" spans="1:19" ht="12.75">
      <c r="A49" s="1">
        <v>45</v>
      </c>
      <c r="B49" s="2">
        <v>45924</v>
      </c>
      <c r="C49" s="26">
        <v>2257803</v>
      </c>
      <c r="D49" s="2">
        <v>49.16391</v>
      </c>
      <c r="E49" s="11">
        <v>16999.08</v>
      </c>
      <c r="F49" s="11">
        <v>15376.28</v>
      </c>
      <c r="G49" s="11">
        <v>1622.807</v>
      </c>
      <c r="H49" s="3">
        <v>0.8692203</v>
      </c>
      <c r="I49" s="3">
        <v>0.8181778</v>
      </c>
      <c r="J49" s="3">
        <v>0.3362662</v>
      </c>
      <c r="K49" s="28">
        <f t="shared" si="26"/>
        <v>1.2341186429752948</v>
      </c>
      <c r="L49" s="28">
        <f t="shared" si="20"/>
        <v>1.2389383082054963</v>
      </c>
      <c r="M49" s="28">
        <f t="shared" si="21"/>
        <v>1.1902487108654298</v>
      </c>
      <c r="N49" s="11">
        <f t="shared" si="27"/>
        <v>19556.69926254599</v>
      </c>
      <c r="O49" s="11">
        <f t="shared" si="22"/>
        <v>18793.32340721051</v>
      </c>
      <c r="P49" s="11">
        <f t="shared" si="23"/>
        <v>4825.959314376527</v>
      </c>
      <c r="Q49" s="28">
        <f t="shared" si="28"/>
        <v>1.2319188172804043</v>
      </c>
      <c r="R49" s="28">
        <f t="shared" si="24"/>
        <v>1.25520153555223</v>
      </c>
      <c r="S49" s="28">
        <f t="shared" si="25"/>
        <v>1.116425303592069</v>
      </c>
    </row>
    <row r="50" spans="1:19" ht="12.75">
      <c r="A50" s="1">
        <v>50</v>
      </c>
      <c r="B50" s="2">
        <v>42144</v>
      </c>
      <c r="C50" s="26">
        <v>2218343</v>
      </c>
      <c r="D50" s="2">
        <v>52.63721</v>
      </c>
      <c r="E50" s="11">
        <v>16613.15</v>
      </c>
      <c r="F50" s="11">
        <v>14725.44</v>
      </c>
      <c r="G50" s="11">
        <v>1887.716</v>
      </c>
      <c r="H50" s="3">
        <v>0.8512</v>
      </c>
      <c r="I50" s="3">
        <v>0.7801968</v>
      </c>
      <c r="J50" s="3">
        <v>0.3788853</v>
      </c>
      <c r="K50" s="28">
        <f t="shared" si="26"/>
        <v>1.2061004556449537</v>
      </c>
      <c r="L50" s="28">
        <f t="shared" si="20"/>
        <v>1.186497106008836</v>
      </c>
      <c r="M50" s="28">
        <f t="shared" si="21"/>
        <v>1.3845463665611781</v>
      </c>
      <c r="N50" s="11">
        <f t="shared" si="27"/>
        <v>19517.32847744361</v>
      </c>
      <c r="O50" s="11">
        <f t="shared" si="22"/>
        <v>18874.007173574668</v>
      </c>
      <c r="P50" s="11">
        <f t="shared" si="23"/>
        <v>4982.288835169905</v>
      </c>
      <c r="Q50" s="28">
        <f t="shared" si="28"/>
        <v>1.2294387663082236</v>
      </c>
      <c r="R50" s="28">
        <f t="shared" si="24"/>
        <v>1.2605903848387574</v>
      </c>
      <c r="S50" s="28">
        <f t="shared" si="25"/>
        <v>1.1525901821877556</v>
      </c>
    </row>
    <row r="51" spans="1:19" ht="12.75">
      <c r="A51" s="1">
        <v>55</v>
      </c>
      <c r="B51" s="2">
        <v>40758</v>
      </c>
      <c r="C51" s="26">
        <v>2196979</v>
      </c>
      <c r="D51" s="2">
        <v>53.903</v>
      </c>
      <c r="E51" s="11">
        <v>15887.49</v>
      </c>
      <c r="F51" s="11">
        <v>13745.12</v>
      </c>
      <c r="G51" s="11">
        <v>2142.372</v>
      </c>
      <c r="H51" s="3">
        <v>0.8626267</v>
      </c>
      <c r="I51" s="3">
        <v>0.768273</v>
      </c>
      <c r="J51" s="3">
        <v>0.4334847</v>
      </c>
      <c r="K51" s="28">
        <f t="shared" si="26"/>
        <v>1.1534181613995325</v>
      </c>
      <c r="L51" s="28">
        <f t="shared" si="20"/>
        <v>1.107508169653618</v>
      </c>
      <c r="M51" s="28">
        <f t="shared" si="21"/>
        <v>1.5713239536150587</v>
      </c>
      <c r="N51" s="11">
        <f t="shared" si="27"/>
        <v>18417.572746125294</v>
      </c>
      <c r="O51" s="11">
        <f t="shared" si="22"/>
        <v>17890.931999432494</v>
      </c>
      <c r="P51" s="11">
        <f t="shared" si="23"/>
        <v>4942.209032983171</v>
      </c>
      <c r="Q51" s="28">
        <f t="shared" si="28"/>
        <v>1.1601627723567458</v>
      </c>
      <c r="R51" s="28">
        <f t="shared" si="24"/>
        <v>1.194931031173131</v>
      </c>
      <c r="S51" s="28">
        <f t="shared" si="25"/>
        <v>1.1433182214418505</v>
      </c>
    </row>
    <row r="52" spans="1:19" ht="12.75">
      <c r="A52" s="1">
        <v>60</v>
      </c>
      <c r="B52" s="2">
        <v>25523</v>
      </c>
      <c r="C52" s="26">
        <v>1513621</v>
      </c>
      <c r="D52" s="2">
        <v>59.30421</v>
      </c>
      <c r="E52" s="11">
        <v>14303.08</v>
      </c>
      <c r="F52" s="11">
        <v>12007.8</v>
      </c>
      <c r="G52" s="11">
        <v>2295.282</v>
      </c>
      <c r="H52" s="3">
        <v>0.9053475</v>
      </c>
      <c r="I52" s="3">
        <v>0.8299558</v>
      </c>
      <c r="J52" s="3">
        <v>0.4604801</v>
      </c>
      <c r="K52" s="28">
        <f t="shared" si="26"/>
        <v>1.0383913529418696</v>
      </c>
      <c r="L52" s="28">
        <f t="shared" si="20"/>
        <v>0.9675242267485996</v>
      </c>
      <c r="M52" s="28">
        <f t="shared" si="21"/>
        <v>1.683475879493141</v>
      </c>
      <c r="N52" s="11">
        <f t="shared" si="27"/>
        <v>15798.442034688338</v>
      </c>
      <c r="O52" s="11">
        <f t="shared" si="22"/>
        <v>14467.999380207957</v>
      </c>
      <c r="P52" s="11">
        <f t="shared" si="23"/>
        <v>4984.541134350866</v>
      </c>
      <c r="Q52" s="28">
        <f t="shared" si="28"/>
        <v>0.9951780597004778</v>
      </c>
      <c r="R52" s="28">
        <f t="shared" si="24"/>
        <v>0.966314187486292</v>
      </c>
      <c r="S52" s="28">
        <f t="shared" si="25"/>
        <v>1.1531112234218568</v>
      </c>
    </row>
    <row r="53" spans="1:19" ht="12.75">
      <c r="A53" s="1">
        <v>65</v>
      </c>
      <c r="B53" s="2">
        <v>19818</v>
      </c>
      <c r="C53" s="26">
        <v>1389715</v>
      </c>
      <c r="D53" s="2">
        <v>70.12389</v>
      </c>
      <c r="E53" s="11">
        <v>13005</v>
      </c>
      <c r="F53" s="11">
        <v>11022.59</v>
      </c>
      <c r="G53" s="11">
        <v>1982.415</v>
      </c>
      <c r="H53" s="3">
        <v>0.9581897</v>
      </c>
      <c r="I53" s="3">
        <v>0.9361579</v>
      </c>
      <c r="J53" s="3">
        <v>0.4672424</v>
      </c>
      <c r="K53" s="28">
        <f t="shared" si="26"/>
        <v>0.9441518571530758</v>
      </c>
      <c r="L53" s="28">
        <f t="shared" si="20"/>
        <v>0.888141280377492</v>
      </c>
      <c r="M53" s="28">
        <f t="shared" si="21"/>
        <v>1.454003401606162</v>
      </c>
      <c r="N53" s="11">
        <f t="shared" si="27"/>
        <v>13572.46900065822</v>
      </c>
      <c r="O53" s="11">
        <f t="shared" si="22"/>
        <v>11774.285085881345</v>
      </c>
      <c r="P53" s="11">
        <f t="shared" si="23"/>
        <v>4242.797742670614</v>
      </c>
      <c r="Q53" s="28">
        <f t="shared" si="28"/>
        <v>0.8549592001390274</v>
      </c>
      <c r="R53" s="28">
        <f t="shared" si="24"/>
        <v>0.7864016597595307</v>
      </c>
      <c r="S53" s="28">
        <f t="shared" si="25"/>
        <v>0.9815181706629733</v>
      </c>
    </row>
    <row r="54" spans="1:19" ht="12.75">
      <c r="A54" s="1">
        <v>70</v>
      </c>
      <c r="B54" s="2">
        <v>18924</v>
      </c>
      <c r="C54" s="26">
        <v>1430072</v>
      </c>
      <c r="D54" s="2">
        <v>75.56924</v>
      </c>
      <c r="E54" s="11">
        <v>12382.28</v>
      </c>
      <c r="F54" s="11">
        <v>10575.49</v>
      </c>
      <c r="G54" s="11">
        <v>1806.79</v>
      </c>
      <c r="H54" s="3">
        <v>0.9633799</v>
      </c>
      <c r="I54" s="3">
        <v>0.9392329</v>
      </c>
      <c r="J54" s="3">
        <v>0.4630767</v>
      </c>
      <c r="K54" s="28">
        <f t="shared" si="26"/>
        <v>0.8989429187073732</v>
      </c>
      <c r="L54" s="28">
        <f t="shared" si="20"/>
        <v>0.852116356429783</v>
      </c>
      <c r="M54" s="28">
        <f t="shared" si="21"/>
        <v>1.3251911461464918</v>
      </c>
      <c r="N54" s="11">
        <f t="shared" si="27"/>
        <v>12852.95655431466</v>
      </c>
      <c r="O54" s="11">
        <f t="shared" si="22"/>
        <v>11259.709918594206</v>
      </c>
      <c r="P54" s="11">
        <f t="shared" si="23"/>
        <v>3901.7078596267097</v>
      </c>
      <c r="Q54" s="28">
        <f t="shared" si="28"/>
        <v>0.8096355537496982</v>
      </c>
      <c r="R54" s="28">
        <f t="shared" si="24"/>
        <v>0.7520333085030387</v>
      </c>
      <c r="S54" s="28">
        <f t="shared" si="25"/>
        <v>0.9026112940353426</v>
      </c>
    </row>
    <row r="55" spans="1:19" ht="12.75">
      <c r="A55" s="1">
        <v>75</v>
      </c>
      <c r="B55" s="2">
        <v>17913</v>
      </c>
      <c r="C55" s="26">
        <v>1328251</v>
      </c>
      <c r="D55" s="2">
        <v>74.15014</v>
      </c>
      <c r="E55" s="11">
        <v>12820.18</v>
      </c>
      <c r="F55" s="11">
        <v>10896.07</v>
      </c>
      <c r="G55" s="11">
        <v>1924.11</v>
      </c>
      <c r="H55" s="3">
        <v>0.966364</v>
      </c>
      <c r="I55" s="3">
        <v>0.9389654</v>
      </c>
      <c r="J55" s="3">
        <v>0.454568</v>
      </c>
      <c r="K55" s="28">
        <f t="shared" si="26"/>
        <v>0.9307340835091672</v>
      </c>
      <c r="L55" s="28">
        <f t="shared" si="20"/>
        <v>0.8779469762444924</v>
      </c>
      <c r="M55" s="28">
        <f t="shared" si="21"/>
        <v>1.4112395664199637</v>
      </c>
      <c r="N55" s="11">
        <f t="shared" si="27"/>
        <v>13266.408930796264</v>
      </c>
      <c r="O55" s="11">
        <f t="shared" si="22"/>
        <v>11604.336006417276</v>
      </c>
      <c r="P55" s="11">
        <f t="shared" si="23"/>
        <v>4232.832051530244</v>
      </c>
      <c r="Q55" s="28">
        <f t="shared" si="28"/>
        <v>0.8356798138673783</v>
      </c>
      <c r="R55" s="28">
        <f t="shared" si="24"/>
        <v>0.7750508017507156</v>
      </c>
      <c r="S55" s="28">
        <f t="shared" si="25"/>
        <v>0.9792127327112384</v>
      </c>
    </row>
    <row r="56" spans="1:19" ht="12.75">
      <c r="A56" s="1">
        <v>80</v>
      </c>
      <c r="B56" s="2">
        <v>15858</v>
      </c>
      <c r="C56" s="26">
        <v>1089610</v>
      </c>
      <c r="D56" s="2">
        <v>68.71043</v>
      </c>
      <c r="E56" s="11">
        <v>13615.54</v>
      </c>
      <c r="F56" s="11">
        <v>11626.29</v>
      </c>
      <c r="G56" s="11">
        <v>1989.253</v>
      </c>
      <c r="H56" s="3">
        <v>0.9700785</v>
      </c>
      <c r="I56" s="3">
        <v>0.9477981</v>
      </c>
      <c r="J56" s="3">
        <v>0.4576951</v>
      </c>
      <c r="K56" s="28">
        <f t="shared" si="26"/>
        <v>0.9884765380347551</v>
      </c>
      <c r="L56" s="28">
        <f t="shared" si="20"/>
        <v>0.9367841937911173</v>
      </c>
      <c r="M56" s="28">
        <f t="shared" si="21"/>
        <v>1.4590187365689136</v>
      </c>
      <c r="N56" s="11">
        <f t="shared" si="27"/>
        <v>14035.503312360805</v>
      </c>
      <c r="O56" s="11">
        <f t="shared" si="22"/>
        <v>12266.631469297101</v>
      </c>
      <c r="P56" s="11">
        <f t="shared" si="23"/>
        <v>4346.240543103913</v>
      </c>
      <c r="Q56" s="28">
        <f t="shared" si="28"/>
        <v>0.8841267336770277</v>
      </c>
      <c r="R56" s="28">
        <f t="shared" si="24"/>
        <v>0.8192853559050425</v>
      </c>
      <c r="S56" s="28">
        <f t="shared" si="25"/>
        <v>1.0054483682371897</v>
      </c>
    </row>
    <row r="57" spans="1:19" ht="12.75">
      <c r="A57" s="1">
        <v>85</v>
      </c>
      <c r="B57" s="2">
        <v>13307</v>
      </c>
      <c r="C57" s="26">
        <v>850750.8</v>
      </c>
      <c r="D57" s="2">
        <v>63.93258</v>
      </c>
      <c r="E57" s="11">
        <v>14018.07</v>
      </c>
      <c r="F57" s="11">
        <v>11903.85</v>
      </c>
      <c r="G57" s="11">
        <v>2114.219</v>
      </c>
      <c r="H57" s="3">
        <v>0.9784467</v>
      </c>
      <c r="I57" s="3">
        <v>0.9682012</v>
      </c>
      <c r="J57" s="3">
        <v>0.4118282</v>
      </c>
      <c r="K57" s="28">
        <f t="shared" si="26"/>
        <v>1.0176998711420082</v>
      </c>
      <c r="L57" s="28">
        <f t="shared" si="20"/>
        <v>0.9591484923617415</v>
      </c>
      <c r="M57" s="28">
        <f t="shared" si="21"/>
        <v>1.550675119861572</v>
      </c>
      <c r="N57" s="11">
        <f t="shared" si="27"/>
        <v>14326.861136125248</v>
      </c>
      <c r="O57" s="11">
        <f t="shared" si="22"/>
        <v>12294.810210935497</v>
      </c>
      <c r="P57" s="11">
        <f t="shared" si="23"/>
        <v>5133.740234398713</v>
      </c>
      <c r="Q57" s="28">
        <f t="shared" si="28"/>
        <v>0.9024799936437894</v>
      </c>
      <c r="R57" s="28">
        <f t="shared" si="24"/>
        <v>0.8211674072595609</v>
      </c>
      <c r="S57" s="28">
        <f t="shared" si="25"/>
        <v>1.187626568395937</v>
      </c>
    </row>
    <row r="58" spans="1:19" ht="12.75">
      <c r="A58" s="16" t="s">
        <v>42</v>
      </c>
      <c r="B58" s="17">
        <f>SUM(B43:B57)</f>
        <v>424821</v>
      </c>
      <c r="C58" s="27">
        <f>SUM(C43:C57)</f>
        <v>26013888.7</v>
      </c>
      <c r="D58" s="17">
        <f>C58/B58</f>
        <v>61.2349405985109</v>
      </c>
      <c r="E58" s="14">
        <f aca="true" t="shared" si="29" ref="E58:J58">SUMPRODUCT($C43:$C57,E43:E57)/$C58</f>
        <v>13774.267244693343</v>
      </c>
      <c r="F58" s="14">
        <f t="shared" si="29"/>
        <v>12410.852015925893</v>
      </c>
      <c r="G58" s="14">
        <f t="shared" si="29"/>
        <v>1363.4184059061547</v>
      </c>
      <c r="H58" s="15">
        <f t="shared" si="29"/>
        <v>0.8676709083257517</v>
      </c>
      <c r="I58" s="15">
        <f t="shared" si="29"/>
        <v>0.8289178114140657</v>
      </c>
      <c r="J58" s="15">
        <f t="shared" si="29"/>
        <v>0.3154097887237251</v>
      </c>
      <c r="K58" s="29">
        <f t="shared" si="26"/>
        <v>1</v>
      </c>
      <c r="L58" s="29">
        <f t="shared" si="20"/>
        <v>1</v>
      </c>
      <c r="M58" s="29">
        <f t="shared" si="21"/>
        <v>1</v>
      </c>
      <c r="N58" s="14">
        <f t="shared" si="27"/>
        <v>15874.990290122805</v>
      </c>
      <c r="O58" s="14">
        <f t="shared" si="22"/>
        <v>14972.355334908292</v>
      </c>
      <c r="P58" s="14">
        <f t="shared" si="23"/>
        <v>4322.688941973215</v>
      </c>
      <c r="Q58" s="29">
        <f t="shared" si="28"/>
        <v>1</v>
      </c>
      <c r="R58" s="29">
        <f t="shared" si="24"/>
        <v>1</v>
      </c>
      <c r="S58" s="29">
        <f t="shared" si="25"/>
        <v>1</v>
      </c>
    </row>
    <row r="59" spans="1:16" ht="12.75">
      <c r="A59" s="1" t="s">
        <v>45</v>
      </c>
      <c r="E59" s="5">
        <f aca="true" t="shared" si="30" ref="E59:J59">E58/E39</f>
        <v>0.6221180532113972</v>
      </c>
      <c r="F59" s="5">
        <f t="shared" si="30"/>
        <v>0.5992608594780209</v>
      </c>
      <c r="G59" s="5">
        <f t="shared" si="30"/>
        <v>0.9530026333136689</v>
      </c>
      <c r="H59" s="5">
        <f t="shared" si="30"/>
        <v>0.9292310087718777</v>
      </c>
      <c r="I59" s="5">
        <f t="shared" si="30"/>
        <v>0.8965461662425563</v>
      </c>
      <c r="J59" s="5">
        <f t="shared" si="30"/>
        <v>1.0310784735383784</v>
      </c>
      <c r="K59" s="28"/>
      <c r="N59" s="5">
        <f>N58/N39</f>
        <v>0.6694977323600321</v>
      </c>
      <c r="O59" s="5">
        <f>O58/O39</f>
        <v>0.6684104868682174</v>
      </c>
      <c r="P59" s="5">
        <f>P58/P39</f>
        <v>0.9242774995032388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2" width="8.28125" style="0" customWidth="1"/>
    <col min="3" max="3" width="9.7109375" style="0" customWidth="1"/>
    <col min="4" max="4" width="8.28125" style="0" customWidth="1"/>
    <col min="5" max="6" width="9.7109375" style="0" customWidth="1"/>
    <col min="7" max="8" width="8.28125" style="0" customWidth="1"/>
    <col min="9" max="19" width="6.7109375" style="0" customWidth="1"/>
  </cols>
  <sheetData>
    <row r="1" ht="12.75">
      <c r="A1" s="7" t="s">
        <v>50</v>
      </c>
    </row>
    <row r="2" ht="12.75">
      <c r="A2" s="7" t="s">
        <v>51</v>
      </c>
    </row>
    <row r="3" ht="12.75">
      <c r="A3" s="53" t="s">
        <v>71</v>
      </c>
    </row>
    <row r="5" spans="1:19" ht="12.75">
      <c r="A5" s="6" t="s">
        <v>68</v>
      </c>
      <c r="B5" s="6" t="s">
        <v>5</v>
      </c>
      <c r="C5" s="6" t="s">
        <v>1</v>
      </c>
      <c r="D5" s="6" t="s">
        <v>6</v>
      </c>
      <c r="E5" s="6" t="s">
        <v>52</v>
      </c>
      <c r="F5" s="6" t="s">
        <v>62</v>
      </c>
      <c r="G5" s="6" t="s">
        <v>63</v>
      </c>
      <c r="H5" s="6" t="s">
        <v>2</v>
      </c>
      <c r="I5" s="42" t="s">
        <v>14</v>
      </c>
      <c r="J5" s="43" t="s">
        <v>53</v>
      </c>
      <c r="K5" s="44" t="s">
        <v>17</v>
      </c>
      <c r="L5" s="6" t="s">
        <v>22</v>
      </c>
      <c r="M5" s="6" t="s">
        <v>24</v>
      </c>
      <c r="N5" s="6" t="s">
        <v>23</v>
      </c>
      <c r="O5" s="44" t="s">
        <v>25</v>
      </c>
      <c r="P5" s="6" t="s">
        <v>66</v>
      </c>
      <c r="S5" s="10"/>
    </row>
    <row r="6" spans="1:16" ht="12.75">
      <c r="A6" s="1">
        <v>0</v>
      </c>
      <c r="B6" s="2">
        <v>124641</v>
      </c>
      <c r="C6" s="26">
        <v>5014117</v>
      </c>
      <c r="D6" s="2">
        <v>40.22847</v>
      </c>
      <c r="E6" s="11">
        <v>1.28E-10</v>
      </c>
      <c r="F6" s="11">
        <v>0.0003997</v>
      </c>
      <c r="G6" s="11">
        <v>1473.147</v>
      </c>
      <c r="H6" s="3">
        <v>0.2930682</v>
      </c>
      <c r="I6" s="45">
        <v>0</v>
      </c>
      <c r="J6" s="46">
        <v>0</v>
      </c>
      <c r="K6" s="47">
        <v>0</v>
      </c>
      <c r="L6" s="3">
        <v>0.4320903</v>
      </c>
      <c r="M6" s="3">
        <v>0.0385559</v>
      </c>
      <c r="N6" s="3">
        <v>0.2658691</v>
      </c>
      <c r="O6" s="47">
        <v>0.2634847</v>
      </c>
      <c r="P6" s="3">
        <v>0.1965827</v>
      </c>
    </row>
    <row r="7" spans="1:16" ht="12.75">
      <c r="A7" s="1">
        <v>10</v>
      </c>
      <c r="B7" s="2">
        <v>101353</v>
      </c>
      <c r="C7" s="26">
        <v>5013937</v>
      </c>
      <c r="D7" s="2">
        <v>49.47004</v>
      </c>
      <c r="E7" s="11">
        <v>0.0008016</v>
      </c>
      <c r="F7" s="11">
        <v>1537.818</v>
      </c>
      <c r="G7" s="11">
        <v>1012.149</v>
      </c>
      <c r="H7" s="3">
        <v>0.2916385</v>
      </c>
      <c r="I7" s="45">
        <v>0.4775453</v>
      </c>
      <c r="J7" s="46">
        <v>0.4826883</v>
      </c>
      <c r="K7" s="47">
        <v>0.0397662</v>
      </c>
      <c r="L7" s="3">
        <v>0.5223586</v>
      </c>
      <c r="M7" s="3">
        <v>0.0588532</v>
      </c>
      <c r="N7" s="3">
        <v>0.2413193</v>
      </c>
      <c r="O7" s="47">
        <v>0.1774689</v>
      </c>
      <c r="P7" s="3">
        <v>0.2176862</v>
      </c>
    </row>
    <row r="8" spans="1:16" ht="12.75">
      <c r="A8" s="1">
        <v>20</v>
      </c>
      <c r="B8" s="2">
        <v>65412</v>
      </c>
      <c r="C8" s="26">
        <v>5014853</v>
      </c>
      <c r="D8" s="2">
        <v>76.66563</v>
      </c>
      <c r="E8" s="11">
        <v>3961</v>
      </c>
      <c r="F8" s="11">
        <v>6185.933</v>
      </c>
      <c r="G8" s="11">
        <v>906.5974</v>
      </c>
      <c r="H8" s="3">
        <v>0.3416896</v>
      </c>
      <c r="I8" s="45">
        <v>0.4226267</v>
      </c>
      <c r="J8" s="46">
        <v>0.5381808</v>
      </c>
      <c r="K8" s="47">
        <v>0.0391926</v>
      </c>
      <c r="L8" s="3">
        <v>0.6033945</v>
      </c>
      <c r="M8" s="3">
        <v>0.0698095</v>
      </c>
      <c r="N8" s="3">
        <v>0.2145441</v>
      </c>
      <c r="O8" s="47">
        <v>0.1122519</v>
      </c>
      <c r="P8" s="3">
        <v>0.2569035</v>
      </c>
    </row>
    <row r="9" spans="1:16" ht="12.75">
      <c r="A9" s="1">
        <v>30</v>
      </c>
      <c r="B9" s="2">
        <v>53027</v>
      </c>
      <c r="C9" s="26">
        <v>5014917</v>
      </c>
      <c r="D9" s="2">
        <v>94.57289</v>
      </c>
      <c r="E9" s="11">
        <v>8134</v>
      </c>
      <c r="F9" s="11">
        <v>9776.434</v>
      </c>
      <c r="G9" s="11">
        <v>923.7458</v>
      </c>
      <c r="H9" s="3">
        <v>0.402762</v>
      </c>
      <c r="I9" s="45">
        <v>0.4102868</v>
      </c>
      <c r="J9" s="46">
        <v>0.5561711</v>
      </c>
      <c r="K9" s="47">
        <v>0.0335422</v>
      </c>
      <c r="L9" s="3">
        <v>0.6103458</v>
      </c>
      <c r="M9" s="3">
        <v>0.0773288</v>
      </c>
      <c r="N9" s="3">
        <v>0.213045</v>
      </c>
      <c r="O9" s="47">
        <v>0.0992805</v>
      </c>
      <c r="P9" s="3">
        <v>0.2803587</v>
      </c>
    </row>
    <row r="10" spans="1:16" ht="12.75">
      <c r="A10" s="1">
        <v>40</v>
      </c>
      <c r="B10" s="2">
        <v>48518</v>
      </c>
      <c r="C10" s="26">
        <v>5013139</v>
      </c>
      <c r="D10" s="2">
        <v>103.3253</v>
      </c>
      <c r="E10" s="11">
        <v>11382</v>
      </c>
      <c r="F10" s="11">
        <v>12816.09</v>
      </c>
      <c r="G10" s="11">
        <v>766.0947</v>
      </c>
      <c r="H10" s="3">
        <v>0.4482116</v>
      </c>
      <c r="I10" s="45">
        <v>0.5402264</v>
      </c>
      <c r="J10" s="46">
        <v>0.433127</v>
      </c>
      <c r="K10" s="47">
        <v>0.0266465</v>
      </c>
      <c r="L10" s="3">
        <v>0.5641918</v>
      </c>
      <c r="M10" s="3">
        <v>0.0882846</v>
      </c>
      <c r="N10" s="3">
        <v>0.2421882</v>
      </c>
      <c r="O10" s="47">
        <v>0.1053354</v>
      </c>
      <c r="P10" s="3">
        <v>0.2521786</v>
      </c>
    </row>
    <row r="11" spans="1:16" ht="12.75">
      <c r="A11" s="1">
        <v>50</v>
      </c>
      <c r="B11" s="2">
        <v>45473</v>
      </c>
      <c r="C11" s="26">
        <v>5014143</v>
      </c>
      <c r="D11" s="2">
        <v>110.2664</v>
      </c>
      <c r="E11" s="11">
        <v>14147</v>
      </c>
      <c r="F11" s="11">
        <v>15350.7</v>
      </c>
      <c r="G11" s="11">
        <v>682.1753</v>
      </c>
      <c r="H11" s="3">
        <v>0.5283402</v>
      </c>
      <c r="I11" s="45">
        <v>0.6381417</v>
      </c>
      <c r="J11" s="46">
        <v>0.3405926</v>
      </c>
      <c r="K11" s="47">
        <v>0.0212658</v>
      </c>
      <c r="L11" s="3">
        <v>0.542431</v>
      </c>
      <c r="M11" s="3">
        <v>0.0925364</v>
      </c>
      <c r="N11" s="3">
        <v>0.2474217</v>
      </c>
      <c r="O11" s="47">
        <v>0.117611</v>
      </c>
      <c r="P11" s="3">
        <v>0.2603641</v>
      </c>
    </row>
    <row r="12" spans="1:16" ht="12.75">
      <c r="A12" s="1">
        <v>60</v>
      </c>
      <c r="B12" s="2">
        <v>47414</v>
      </c>
      <c r="C12" s="26">
        <v>5014379</v>
      </c>
      <c r="D12" s="2">
        <v>105.7573</v>
      </c>
      <c r="E12" s="11">
        <v>16593</v>
      </c>
      <c r="F12" s="11">
        <v>18000.91</v>
      </c>
      <c r="G12" s="11">
        <v>741.5116</v>
      </c>
      <c r="H12" s="3">
        <v>0.5795284</v>
      </c>
      <c r="I12" s="45">
        <v>0.6855935</v>
      </c>
      <c r="J12" s="46">
        <v>0.2905812</v>
      </c>
      <c r="K12" s="47">
        <v>0.0238253</v>
      </c>
      <c r="L12" s="3">
        <v>0.5156209</v>
      </c>
      <c r="M12" s="3">
        <v>0.0956276</v>
      </c>
      <c r="N12" s="3">
        <v>0.2655742</v>
      </c>
      <c r="O12" s="47">
        <v>0.1231774</v>
      </c>
      <c r="P12" s="3">
        <v>0.2928301</v>
      </c>
    </row>
    <row r="13" spans="1:16" ht="12.75">
      <c r="A13" s="1">
        <v>70</v>
      </c>
      <c r="B13" s="2">
        <v>53657</v>
      </c>
      <c r="C13" s="26">
        <v>5013429</v>
      </c>
      <c r="D13" s="2">
        <v>93.43477</v>
      </c>
      <c r="E13" s="11">
        <v>19519</v>
      </c>
      <c r="F13" s="11">
        <v>21377.66</v>
      </c>
      <c r="G13" s="11">
        <v>914.4889</v>
      </c>
      <c r="H13" s="3">
        <v>0.5900834</v>
      </c>
      <c r="I13" s="45">
        <v>0.6927412</v>
      </c>
      <c r="J13" s="46">
        <v>0.2796132</v>
      </c>
      <c r="K13" s="47">
        <v>0.0276456</v>
      </c>
      <c r="L13" s="3">
        <v>0.5060838</v>
      </c>
      <c r="M13" s="3">
        <v>0.1008309</v>
      </c>
      <c r="N13" s="3">
        <v>0.2555467</v>
      </c>
      <c r="O13" s="47">
        <v>0.1375386</v>
      </c>
      <c r="P13" s="3">
        <v>0.3484512</v>
      </c>
    </row>
    <row r="14" spans="1:16" ht="12.75">
      <c r="A14" s="1">
        <v>80</v>
      </c>
      <c r="B14" s="2">
        <v>69602</v>
      </c>
      <c r="C14" s="26">
        <v>5013877</v>
      </c>
      <c r="D14" s="2">
        <v>72.03639</v>
      </c>
      <c r="E14" s="11">
        <v>23549</v>
      </c>
      <c r="F14" s="11">
        <v>26816.19</v>
      </c>
      <c r="G14" s="11">
        <v>1385.464</v>
      </c>
      <c r="H14" s="3">
        <v>0.6109084</v>
      </c>
      <c r="I14" s="45">
        <v>0.7105733</v>
      </c>
      <c r="J14" s="46">
        <v>0.2482039</v>
      </c>
      <c r="K14" s="47">
        <v>0.0412228</v>
      </c>
      <c r="L14" s="3">
        <v>0.4781331</v>
      </c>
      <c r="M14" s="3">
        <v>0.0911739</v>
      </c>
      <c r="N14" s="3">
        <v>0.2912086</v>
      </c>
      <c r="O14" s="47">
        <v>0.1394844</v>
      </c>
      <c r="P14" s="3">
        <v>0.4217894</v>
      </c>
    </row>
    <row r="15" spans="1:16" ht="12.75">
      <c r="A15" s="1">
        <v>90</v>
      </c>
      <c r="B15" s="2">
        <v>133394</v>
      </c>
      <c r="C15" s="26">
        <v>4511991</v>
      </c>
      <c r="D15" s="2">
        <v>33.82454</v>
      </c>
      <c r="E15" s="11">
        <v>31148</v>
      </c>
      <c r="F15" s="11">
        <v>42925</v>
      </c>
      <c r="G15" s="11">
        <v>3427.491</v>
      </c>
      <c r="H15" s="3">
        <v>0.7164214</v>
      </c>
      <c r="I15" s="45">
        <v>0.695601</v>
      </c>
      <c r="J15" s="46">
        <v>0.196743</v>
      </c>
      <c r="K15" s="47">
        <v>0.1076559</v>
      </c>
      <c r="L15" s="3">
        <v>0.3638314</v>
      </c>
      <c r="M15" s="3">
        <v>0.0708806</v>
      </c>
      <c r="N15" s="3">
        <v>0.341468</v>
      </c>
      <c r="O15" s="47">
        <v>0.22382</v>
      </c>
      <c r="P15" s="3">
        <v>0.5576847</v>
      </c>
    </row>
    <row r="16" spans="1:16" ht="12.75">
      <c r="A16" s="1">
        <v>99</v>
      </c>
      <c r="B16" s="2">
        <v>51628</v>
      </c>
      <c r="C16" s="26">
        <v>451226.6</v>
      </c>
      <c r="D16" s="2">
        <v>8.739959</v>
      </c>
      <c r="E16" s="11">
        <v>77611</v>
      </c>
      <c r="F16" s="11">
        <v>108507</v>
      </c>
      <c r="G16" s="11">
        <v>16482.71</v>
      </c>
      <c r="H16" s="3">
        <v>0.8456348</v>
      </c>
      <c r="I16" s="45">
        <v>0.6128632</v>
      </c>
      <c r="J16" s="46">
        <v>0.0628753</v>
      </c>
      <c r="K16" s="47">
        <v>0.3242615</v>
      </c>
      <c r="L16" s="3">
        <v>0.1978527</v>
      </c>
      <c r="M16" s="3">
        <v>0.0387607</v>
      </c>
      <c r="N16" s="3">
        <v>0.3972375</v>
      </c>
      <c r="O16" s="47">
        <v>0.3661492</v>
      </c>
      <c r="P16" s="3">
        <v>0.7816011</v>
      </c>
    </row>
    <row r="17" spans="1:16" ht="12.75">
      <c r="A17" s="1">
        <v>999</v>
      </c>
      <c r="B17" s="2">
        <v>43114</v>
      </c>
      <c r="C17" s="26">
        <v>50138.74</v>
      </c>
      <c r="D17" s="2">
        <v>1.162934</v>
      </c>
      <c r="E17" s="11">
        <v>204356</v>
      </c>
      <c r="F17" s="11">
        <v>379066.2</v>
      </c>
      <c r="G17" s="11">
        <v>58458.45</v>
      </c>
      <c r="H17" s="3">
        <v>0.8797889</v>
      </c>
      <c r="I17" s="45">
        <v>0.4767611</v>
      </c>
      <c r="J17" s="46">
        <v>0.015681</v>
      </c>
      <c r="K17" s="47">
        <v>0.5075579</v>
      </c>
      <c r="L17" s="3">
        <v>0.1157471</v>
      </c>
      <c r="M17" s="3">
        <v>0.0357489</v>
      </c>
      <c r="N17" s="3">
        <v>0.3643463</v>
      </c>
      <c r="O17" s="47">
        <v>0.4841577</v>
      </c>
      <c r="P17" s="3">
        <v>0.8996959</v>
      </c>
    </row>
    <row r="18" spans="1:16" ht="12.75">
      <c r="A18" s="1" t="s">
        <v>55</v>
      </c>
      <c r="B18" s="2">
        <f>SUM(B6:B10)</f>
        <v>392951</v>
      </c>
      <c r="C18" s="39">
        <f>SUM(C6:C10)</f>
        <v>25070963</v>
      </c>
      <c r="D18" s="35">
        <f>C18/B18</f>
        <v>63.8017539082481</v>
      </c>
      <c r="E18" s="11">
        <f>E6</f>
        <v>1.28E-10</v>
      </c>
      <c r="F18" s="37">
        <f>SUMPRODUCT($C6:$C10,F6:F10)/$C18</f>
        <v>6063.1462345082455</v>
      </c>
      <c r="G18" s="37">
        <f>SUMPRODUCT($C6:$C10,G6:G10)/$C18</f>
        <v>1016.3503955694124</v>
      </c>
      <c r="H18" s="3">
        <f>SUMPRODUCT($C6:$C10,H6:H10)/$C18</f>
        <v>0.3554719249575336</v>
      </c>
      <c r="I18" s="45">
        <f>SUMPRODUCT($B25:$B29,I6:I10)/$B37</f>
        <v>0.4711376308434718</v>
      </c>
      <c r="J18" s="46">
        <f>SUMPRODUCT($B25:$B29,J6:J10)/$B37</f>
        <v>0.49676590280257005</v>
      </c>
      <c r="K18" s="48">
        <f>SUMPRODUCT($B25:$B29,K6:K10)/$B37</f>
        <v>0.03209645341934725</v>
      </c>
      <c r="L18" s="3">
        <f>SUMPRODUCT($C25:$C29,L6:L10)/$C37</f>
        <v>0.5329516296298513</v>
      </c>
      <c r="M18" s="3">
        <f>SUMPRODUCT($C25:$C29,M6:M10)/$C37</f>
        <v>0.06271909723625972</v>
      </c>
      <c r="N18" s="3">
        <f>SUMPRODUCT($C25:$C29,N6:N10)/$C37</f>
        <v>0.23864913343975955</v>
      </c>
      <c r="O18" s="48">
        <f>SUMPRODUCT($C25:$C29,O6:O10)/$C37</f>
        <v>0.1656801578744589</v>
      </c>
      <c r="P18" s="3">
        <f>SUMPRODUCT($C6:$C10,P6:P10)/$C18</f>
        <v>0.24074339799329209</v>
      </c>
    </row>
    <row r="19" spans="1:16" ht="12.75">
      <c r="A19" s="1" t="s">
        <v>56</v>
      </c>
      <c r="B19" s="2">
        <f>SUM(B11:B14)</f>
        <v>216146</v>
      </c>
      <c r="C19" s="39">
        <f>SUM(C11:C14)</f>
        <v>20055828</v>
      </c>
      <c r="D19" s="35">
        <f>C19/B19</f>
        <v>92.78833751260721</v>
      </c>
      <c r="E19" s="11">
        <f>E11</f>
        <v>14147</v>
      </c>
      <c r="F19" s="37">
        <f>SUMPRODUCT($C11:$C14,F11:F14)/$C19</f>
        <v>20386.21636063891</v>
      </c>
      <c r="G19" s="37">
        <f>SUMPRODUCT($C11:$C14,G11:G14)/$C19</f>
        <v>930.9022771799996</v>
      </c>
      <c r="H19" s="3">
        <f>SUMPRODUCT($C11:$C14,H11:H14)/$C19</f>
        <v>0.5772142222279529</v>
      </c>
      <c r="I19" s="45">
        <f>SUMPRODUCT($B30:$B33,I11:I14)/$B38</f>
        <v>0.6867485943886422</v>
      </c>
      <c r="J19" s="46">
        <f>SUMPRODUCT($B30:$B33,J11:J14)/$B38</f>
        <v>0.28318543571832694</v>
      </c>
      <c r="K19" s="48">
        <f>SUMPRODUCT($B30:$B33,K11:K14)/$B38</f>
        <v>0.03006598871858103</v>
      </c>
      <c r="L19" s="3">
        <f>SUMPRODUCT($C30:$C33,L11:L14)/$C38</f>
        <v>0.5042427035817245</v>
      </c>
      <c r="M19" s="3">
        <f>SUMPRODUCT($C30:$C33,M11:M14)/$C38</f>
        <v>0.09468193090138728</v>
      </c>
      <c r="N19" s="3">
        <f>SUMPRODUCT($C30:$C33,N11:N14)/$C38</f>
        <v>0.26932385604531994</v>
      </c>
      <c r="O19" s="48">
        <f>SUMPRODUCT($C30:$C33,O11:O14)/$C38</f>
        <v>0.13175154770798309</v>
      </c>
      <c r="P19" s="3">
        <f>SUMPRODUCT($C11:$C14,P11:P14)/$C19</f>
        <v>0.3308564201958054</v>
      </c>
    </row>
    <row r="20" spans="1:16" ht="12.75">
      <c r="A20" s="1" t="s">
        <v>57</v>
      </c>
      <c r="B20" s="2">
        <f>SUM(B15:B17)</f>
        <v>228136</v>
      </c>
      <c r="C20" s="39">
        <f>SUM(C15:C17)</f>
        <v>5013356.34</v>
      </c>
      <c r="D20" s="35">
        <f>C20/B20</f>
        <v>21.975296928148122</v>
      </c>
      <c r="E20" s="11">
        <f>E15</f>
        <v>31148</v>
      </c>
      <c r="F20" s="37">
        <f>SUMPRODUCT($C15:$C17,F15:F17)/$C20</f>
        <v>52189.45996681098</v>
      </c>
      <c r="G20" s="37">
        <f>SUMPRODUCT($C15:$C17,G15:G17)/$C20</f>
        <v>5152.890999569363</v>
      </c>
      <c r="H20" s="3">
        <f>SUMPRODUCT($C15:$C17,H15:H17)/$C20</f>
        <v>0.7296850819036466</v>
      </c>
      <c r="I20" s="45">
        <f>SUMPRODUCT($B34:$B36,I15:I17)/$B39</f>
        <v>0.6642217824784461</v>
      </c>
      <c r="J20" s="46">
        <f>SUMPRODUCT($B34:$B36,J15:J17)/$B39</f>
        <v>0.15854009060562171</v>
      </c>
      <c r="K20" s="48">
        <f>SUMPRODUCT($B34:$B36,K15:K17)/$B39</f>
        <v>0.17723805289285213</v>
      </c>
      <c r="L20" s="3">
        <f>SUMPRODUCT($C34:$C36,L15:L17)/$C39</f>
        <v>0.287898358324717</v>
      </c>
      <c r="M20" s="3">
        <f>SUMPRODUCT($C34:$C36,M15:M17)/$C39</f>
        <v>0.057647207717426804</v>
      </c>
      <c r="N20" s="3">
        <f>SUMPRODUCT($C34:$C36,N15:N17)/$C39</f>
        <v>0.36011987964666603</v>
      </c>
      <c r="O20" s="48">
        <f>SUMPRODUCT($C34:$C36,O15:O17)/$C39</f>
        <v>0.2943345831013301</v>
      </c>
      <c r="P20" s="3">
        <f>SUMPRODUCT($C15:$C17,P15:P17)/$C20</f>
        <v>0.5812587367280831</v>
      </c>
    </row>
    <row r="21" spans="1:16" ht="12.75">
      <c r="A21" s="1" t="s">
        <v>58</v>
      </c>
      <c r="B21" s="2">
        <f>B16+B17</f>
        <v>94742</v>
      </c>
      <c r="C21" s="39">
        <f>C16+C17</f>
        <v>501365.33999999997</v>
      </c>
      <c r="D21" s="35">
        <f>C21/B21</f>
        <v>5.29190158535813</v>
      </c>
      <c r="E21" s="11">
        <f>E16</f>
        <v>77611</v>
      </c>
      <c r="F21" s="37">
        <f>SUMPRODUCT($C16:$C17,F16:F17)/$C21</f>
        <v>135564.1104564348</v>
      </c>
      <c r="G21" s="37">
        <f>SUMPRODUCT($C16:$C17,G16:G17)/$C21</f>
        <v>20680.468692628412</v>
      </c>
      <c r="H21" s="40">
        <f>SUMPRODUCT($C16:$C17,H16:H17)/$C21</f>
        <v>0.8490503602775293</v>
      </c>
      <c r="I21" s="45">
        <f>SUMPRODUCT($B35:$B36,I16:I17)/$B40</f>
        <v>0.5748044721312073</v>
      </c>
      <c r="J21" s="46">
        <f>SUMPRODUCT($B35:$B36,J16:J17)/$B40</f>
        <v>0.04967818532904219</v>
      </c>
      <c r="K21" s="48">
        <f>SUMPRODUCT($B35:$B36,K16:K17)/$B40</f>
        <v>0.3755173425397507</v>
      </c>
      <c r="L21" s="3">
        <f>SUMPRODUCT($C35:$C36,L16:L17)/$C40</f>
        <v>0.17464250407720508</v>
      </c>
      <c r="M21" s="3">
        <f>SUMPRODUCT($C35:$C36,M16:M17)/$C40</f>
        <v>0.03790930292013854</v>
      </c>
      <c r="N21" s="3">
        <f>SUMPRODUCT($C35:$C36,N16:N17)/$C40</f>
        <v>0.38793958126929434</v>
      </c>
      <c r="O21" s="48">
        <f>SUMPRODUCT($C35:$C36,O16:O17)/$C40</f>
        <v>0.39950868346464974</v>
      </c>
      <c r="P21" s="40">
        <f>SUMPRODUCT($C16:$C17,P16:P17)/$C21</f>
        <v>0.7934110996153545</v>
      </c>
    </row>
    <row r="22" spans="1:16" ht="30" customHeight="1">
      <c r="A22" s="16" t="s">
        <v>42</v>
      </c>
      <c r="B22" s="17">
        <f>SUM(B6:B17)</f>
        <v>837233</v>
      </c>
      <c r="C22" s="27">
        <f>SUM(C6:C17)</f>
        <v>50140147.34</v>
      </c>
      <c r="D22" s="17">
        <f>C22/B22</f>
        <v>59.88792527289297</v>
      </c>
      <c r="E22" s="14"/>
      <c r="F22" s="38">
        <f>SUMPRODUCT($C6:$C17,F6:F17)/$C22</f>
        <v>16404.334000796207</v>
      </c>
      <c r="G22" s="38">
        <f>SUMPRODUCT($C6:$C17,G6:G17)/$C22</f>
        <v>1395.771284949449</v>
      </c>
      <c r="H22" s="15">
        <f>SUMPRODUCT($C6:$C17,H6:H17)/$C22</f>
        <v>0.4815842244366202</v>
      </c>
      <c r="I22" s="49">
        <f>SUMPRODUCT($B25:$B36,I6:I17)/$B41</f>
        <v>0.6397357522306134</v>
      </c>
      <c r="J22" s="50">
        <f>SUMPRODUCT($B25:$B36,J6:J17)/$B41</f>
        <v>0.2830071819801335</v>
      </c>
      <c r="K22" s="51">
        <f>SUMPRODUCT($B25:$B36,K6:K17)/$B41</f>
        <v>0.07725704920982894</v>
      </c>
      <c r="L22" s="15">
        <f>SUMPRODUCT($C25:$C36,L6:L17)/$C41</f>
        <v>0.4348362300561023</v>
      </c>
      <c r="M22" s="15">
        <f>SUMPRODUCT($C25:$C36,M6:M17)/$C41</f>
        <v>0.06937378823700313</v>
      </c>
      <c r="N22" s="15">
        <f>SUMPRODUCT($C25:$C36,N6:N17)/$C41</f>
        <v>0.2916709066615513</v>
      </c>
      <c r="O22" s="51">
        <f>SUMPRODUCT($C25:$C36,O6:O17)/$C41</f>
        <v>0.20411910249253337</v>
      </c>
      <c r="P22" s="15">
        <f>SUMPRODUCT($C6:$C17,P6:P17)/$C22</f>
        <v>0.3108352543720911</v>
      </c>
    </row>
    <row r="23" spans="1:15" ht="15" customHeight="1">
      <c r="A23" s="16"/>
      <c r="B23" s="33" t="s">
        <v>54</v>
      </c>
      <c r="E23" t="s">
        <v>70</v>
      </c>
      <c r="H23" s="15"/>
      <c r="I23" s="15"/>
      <c r="J23" s="15"/>
      <c r="K23" s="28"/>
      <c r="L23" s="28"/>
      <c r="M23" s="28"/>
      <c r="N23" s="28"/>
      <c r="O23" s="28"/>
    </row>
    <row r="24" spans="1:7" ht="12.75">
      <c r="A24" s="6" t="s">
        <v>68</v>
      </c>
      <c r="B24" s="6" t="s">
        <v>62</v>
      </c>
      <c r="C24" s="6" t="s">
        <v>63</v>
      </c>
      <c r="D24" s="6" t="s">
        <v>69</v>
      </c>
      <c r="E24" s="6" t="s">
        <v>62</v>
      </c>
      <c r="F24" s="6" t="s">
        <v>63</v>
      </c>
      <c r="G24" s="6" t="s">
        <v>61</v>
      </c>
    </row>
    <row r="25" spans="1:10" ht="12.75">
      <c r="A25" s="1">
        <v>0</v>
      </c>
      <c r="B25" s="34">
        <f aca="true" t="shared" si="0" ref="B25:B41">$C6*F6/1000000000</f>
        <v>2.0041425649E-06</v>
      </c>
      <c r="C25" s="34">
        <f aca="true" t="shared" si="1" ref="C25:C41">$C6*G6/1000000000</f>
        <v>7.3865314161989994</v>
      </c>
      <c r="D25" s="3">
        <f aca="true" t="shared" si="2" ref="D25:D41">C25/(B25+C25)</f>
        <v>0.9999997286761664</v>
      </c>
      <c r="E25" s="3">
        <f aca="true" t="shared" si="3" ref="E25:E41">B25/B$41</f>
        <v>2.4366009145765647E-09</v>
      </c>
      <c r="F25" s="3">
        <f aca="true" t="shared" si="4" ref="F25:F41">C25/C$41</f>
        <v>0.10554573390620002</v>
      </c>
      <c r="G25" s="3">
        <f aca="true" t="shared" si="5" ref="G25:G41">(B25+C25)/(B$41+C$41)</f>
        <v>0.00827622883354386</v>
      </c>
      <c r="J25" s="52"/>
    </row>
    <row r="26" spans="1:7" ht="12.75">
      <c r="A26" s="1">
        <v>10</v>
      </c>
      <c r="B26" s="34">
        <f t="shared" si="0"/>
        <v>7.710522569466</v>
      </c>
      <c r="C26" s="34">
        <f t="shared" si="1"/>
        <v>5.074851320613</v>
      </c>
      <c r="D26" s="3">
        <f t="shared" si="2"/>
        <v>0.3969263131640527</v>
      </c>
      <c r="E26" s="3">
        <f t="shared" si="3"/>
        <v>0.009374316315447115</v>
      </c>
      <c r="F26" s="3">
        <f t="shared" si="4"/>
        <v>0.07251426642879889</v>
      </c>
      <c r="G26" s="3">
        <f t="shared" si="5"/>
        <v>0.014325350474325428</v>
      </c>
    </row>
    <row r="27" spans="1:7" ht="12.75">
      <c r="A27" s="1">
        <v>20</v>
      </c>
      <c r="B27" s="34">
        <f t="shared" si="0"/>
        <v>31.021544662849</v>
      </c>
      <c r="C27" s="34">
        <f t="shared" si="1"/>
        <v>4.546452691182201</v>
      </c>
      <c r="D27" s="3">
        <f t="shared" si="2"/>
        <v>0.1278242529633712</v>
      </c>
      <c r="E27" s="3">
        <f t="shared" si="3"/>
        <v>0.03771544271395042</v>
      </c>
      <c r="F27" s="3">
        <f t="shared" si="4"/>
        <v>0.06496400799274901</v>
      </c>
      <c r="G27" s="3">
        <f t="shared" si="5"/>
        <v>0.03985210226521018</v>
      </c>
    </row>
    <row r="28" spans="1:7" ht="12.75">
      <c r="A28" s="1">
        <v>30</v>
      </c>
      <c r="B28" s="34">
        <f t="shared" si="0"/>
        <v>49.028005065978</v>
      </c>
      <c r="C28" s="34">
        <f t="shared" si="1"/>
        <v>4.632508516098601</v>
      </c>
      <c r="D28" s="3">
        <f t="shared" si="2"/>
        <v>0.08632993251197518</v>
      </c>
      <c r="E28" s="3">
        <f t="shared" si="3"/>
        <v>0.059607377277368076</v>
      </c>
      <c r="F28" s="3">
        <f t="shared" si="4"/>
        <v>0.06619365485755296</v>
      </c>
      <c r="G28" s="3">
        <f t="shared" si="5"/>
        <v>0.06012383136421498</v>
      </c>
    </row>
    <row r="29" spans="1:7" ht="12.75">
      <c r="A29" s="1">
        <v>40</v>
      </c>
      <c r="B29" s="34">
        <f t="shared" si="0"/>
        <v>64.24884060651</v>
      </c>
      <c r="C29" s="34">
        <f t="shared" si="1"/>
        <v>3.8405392182633</v>
      </c>
      <c r="D29" s="3">
        <f t="shared" si="2"/>
        <v>0.05640437948101236</v>
      </c>
      <c r="E29" s="3">
        <f t="shared" si="3"/>
        <v>0.07811259863647348</v>
      </c>
      <c r="F29" s="3">
        <f t="shared" si="4"/>
        <v>0.05487724989542279</v>
      </c>
      <c r="G29" s="3">
        <f t="shared" si="5"/>
        <v>0.07629063005550583</v>
      </c>
    </row>
    <row r="30" spans="1:7" ht="12.75">
      <c r="A30" s="1">
        <v>50</v>
      </c>
      <c r="B30" s="34">
        <f t="shared" si="0"/>
        <v>76.97060495010001</v>
      </c>
      <c r="C30" s="34">
        <f t="shared" si="1"/>
        <v>3.4205245052679</v>
      </c>
      <c r="D30" s="3">
        <f t="shared" si="2"/>
        <v>0.04254853151636499</v>
      </c>
      <c r="E30" s="3">
        <f t="shared" si="3"/>
        <v>0.09357949364559456</v>
      </c>
      <c r="F30" s="3">
        <f t="shared" si="4"/>
        <v>0.04887568317395971</v>
      </c>
      <c r="G30" s="3">
        <f t="shared" si="5"/>
        <v>0.09007410454915493</v>
      </c>
    </row>
    <row r="31" spans="1:7" ht="12.75">
      <c r="A31" s="1">
        <v>60</v>
      </c>
      <c r="B31" s="34">
        <f t="shared" si="0"/>
        <v>90.26338508489</v>
      </c>
      <c r="C31" s="34">
        <f t="shared" si="1"/>
        <v>3.7182201952964</v>
      </c>
      <c r="D31" s="3">
        <f t="shared" si="2"/>
        <v>0.03956327607100675</v>
      </c>
      <c r="E31" s="3">
        <f t="shared" si="3"/>
        <v>0.10974061950607475</v>
      </c>
      <c r="F31" s="3">
        <f t="shared" si="4"/>
        <v>0.05312944022369811</v>
      </c>
      <c r="G31" s="3">
        <f t="shared" si="5"/>
        <v>0.1053015301197472</v>
      </c>
    </row>
    <row r="32" spans="1:7" ht="12.75">
      <c r="A32" s="1">
        <v>70</v>
      </c>
      <c r="B32" s="34">
        <f t="shared" si="0"/>
        <v>107.17538059614</v>
      </c>
      <c r="C32" s="34">
        <f t="shared" si="1"/>
        <v>4.5847251714381</v>
      </c>
      <c r="D32" s="3">
        <f t="shared" si="2"/>
        <v>0.04102291367702106</v>
      </c>
      <c r="E32" s="3">
        <f t="shared" si="3"/>
        <v>0.13030192310379693</v>
      </c>
      <c r="F32" s="3">
        <f t="shared" si="4"/>
        <v>0.06551088132062259</v>
      </c>
      <c r="G32" s="3">
        <f t="shared" si="5"/>
        <v>0.12522142081512036</v>
      </c>
    </row>
    <row r="33" spans="1:7" ht="12.75">
      <c r="A33" s="1">
        <v>80</v>
      </c>
      <c r="B33" s="34">
        <f t="shared" si="0"/>
        <v>134.45307826862998</v>
      </c>
      <c r="C33" s="34">
        <f t="shared" si="1"/>
        <v>6.946546083927999</v>
      </c>
      <c r="D33" s="3">
        <f t="shared" si="2"/>
        <v>0.04912704765472266</v>
      </c>
      <c r="E33" s="3">
        <f t="shared" si="3"/>
        <v>0.1634656631791685</v>
      </c>
      <c r="F33" s="3">
        <f t="shared" si="4"/>
        <v>0.09925880812386813</v>
      </c>
      <c r="G33" s="3">
        <f t="shared" si="5"/>
        <v>0.15843096910604604</v>
      </c>
    </row>
    <row r="34" spans="1:7" ht="12.75">
      <c r="A34" s="1">
        <v>90</v>
      </c>
      <c r="B34" s="34">
        <f t="shared" si="0"/>
        <v>193.677213675</v>
      </c>
      <c r="C34" s="34">
        <f t="shared" si="1"/>
        <v>15.464808544580999</v>
      </c>
      <c r="D34" s="3">
        <f t="shared" si="2"/>
        <v>0.07394405189572228</v>
      </c>
      <c r="E34" s="3">
        <f t="shared" si="3"/>
        <v>0.23546931452787773</v>
      </c>
      <c r="F34" s="3">
        <f t="shared" si="4"/>
        <v>0.22097578356968575</v>
      </c>
      <c r="G34" s="3">
        <f t="shared" si="5"/>
        <v>0.2343328238159284</v>
      </c>
    </row>
    <row r="35" spans="1:7" ht="12.75">
      <c r="A35" s="1">
        <v>99</v>
      </c>
      <c r="B35" s="34">
        <f t="shared" si="0"/>
        <v>48.9612446862</v>
      </c>
      <c r="C35" s="34">
        <f t="shared" si="1"/>
        <v>7.437437192086</v>
      </c>
      <c r="D35" s="3">
        <f t="shared" si="2"/>
        <v>0.1318725357471427</v>
      </c>
      <c r="E35" s="3">
        <f t="shared" si="3"/>
        <v>0.05952621119403973</v>
      </c>
      <c r="F35" s="3">
        <f t="shared" si="4"/>
        <v>0.10627312368813135</v>
      </c>
      <c r="G35" s="3">
        <f t="shared" si="5"/>
        <v>0.06319180738416724</v>
      </c>
    </row>
    <row r="36" spans="1:7" ht="12.75">
      <c r="A36" s="1">
        <v>999</v>
      </c>
      <c r="B36" s="34">
        <f t="shared" si="0"/>
        <v>19.005901644588</v>
      </c>
      <c r="C36" s="34">
        <f t="shared" si="1"/>
        <v>2.9310330253529995</v>
      </c>
      <c r="D36" s="3">
        <f t="shared" si="2"/>
        <v>0.1336117862159309</v>
      </c>
      <c r="E36" s="3">
        <f t="shared" si="3"/>
        <v>0.023107037463607816</v>
      </c>
      <c r="F36" s="3">
        <f t="shared" si="4"/>
        <v>0.041881366819310595</v>
      </c>
      <c r="G36" s="3">
        <f t="shared" si="5"/>
        <v>0.02457920121703562</v>
      </c>
    </row>
    <row r="37" spans="1:7" ht="12.75">
      <c r="A37" s="1" t="s">
        <v>55</v>
      </c>
      <c r="B37" s="36">
        <f t="shared" si="0"/>
        <v>152.00891490894557</v>
      </c>
      <c r="C37" s="36">
        <f t="shared" si="1"/>
        <v>25.4808831623561</v>
      </c>
      <c r="D37" s="3">
        <f t="shared" si="2"/>
        <v>0.14356252268719047</v>
      </c>
      <c r="E37" s="5">
        <f t="shared" si="3"/>
        <v>0.18480973737984002</v>
      </c>
      <c r="F37" s="5">
        <f t="shared" si="4"/>
        <v>0.36409491308072367</v>
      </c>
      <c r="G37" s="5">
        <f t="shared" si="5"/>
        <v>0.19886814299280026</v>
      </c>
    </row>
    <row r="38" spans="1:7" ht="12.75">
      <c r="A38" s="1" t="s">
        <v>56</v>
      </c>
      <c r="B38" s="36">
        <f t="shared" si="0"/>
        <v>408.86244889975995</v>
      </c>
      <c r="C38" s="36">
        <f t="shared" si="1"/>
        <v>18.670015955930396</v>
      </c>
      <c r="D38" s="3">
        <f t="shared" si="2"/>
        <v>0.043669235650285146</v>
      </c>
      <c r="E38" s="5">
        <f t="shared" si="3"/>
        <v>0.4970876994346347</v>
      </c>
      <c r="F38" s="5">
        <f t="shared" si="4"/>
        <v>0.2667748128421485</v>
      </c>
      <c r="G38" s="5">
        <f t="shared" si="5"/>
        <v>0.4790280245900685</v>
      </c>
    </row>
    <row r="39" spans="1:7" ht="12.75">
      <c r="A39" s="1" t="s">
        <v>57</v>
      </c>
      <c r="B39" s="36">
        <f t="shared" si="0"/>
        <v>261.64436000578803</v>
      </c>
      <c r="C39" s="36">
        <f t="shared" si="1"/>
        <v>25.833278762020004</v>
      </c>
      <c r="D39" s="3">
        <f t="shared" si="2"/>
        <v>0.0898618719450566</v>
      </c>
      <c r="E39" s="5">
        <f t="shared" si="3"/>
        <v>0.3181025631855253</v>
      </c>
      <c r="F39" s="5">
        <f t="shared" si="4"/>
        <v>0.3691302740771278</v>
      </c>
      <c r="G39" s="5">
        <f t="shared" si="5"/>
        <v>0.32210383241713136</v>
      </c>
    </row>
    <row r="40" spans="1:7" ht="12.75">
      <c r="A40" s="1" t="s">
        <v>58</v>
      </c>
      <c r="B40" s="36">
        <f t="shared" si="0"/>
        <v>67.96714633078798</v>
      </c>
      <c r="C40" s="36">
        <f t="shared" si="1"/>
        <v>10.368470217438999</v>
      </c>
      <c r="D40" s="3">
        <f t="shared" si="2"/>
        <v>0.1323595916431665</v>
      </c>
      <c r="E40" s="5">
        <f t="shared" si="3"/>
        <v>0.08263324865764753</v>
      </c>
      <c r="F40" s="5">
        <f t="shared" si="4"/>
        <v>0.14815449050744195</v>
      </c>
      <c r="G40" s="5">
        <f t="shared" si="5"/>
        <v>0.08777100860120285</v>
      </c>
    </row>
    <row r="41" spans="1:7" ht="12.75">
      <c r="A41" s="16" t="s">
        <v>42</v>
      </c>
      <c r="B41" s="36">
        <f t="shared" si="0"/>
        <v>822.5157238144935</v>
      </c>
      <c r="C41" s="36">
        <f t="shared" si="1"/>
        <v>69.9841778803065</v>
      </c>
      <c r="D41" s="15">
        <f t="shared" si="2"/>
        <v>0.07841365332075785</v>
      </c>
      <c r="E41" s="28">
        <f t="shared" si="3"/>
        <v>1</v>
      </c>
      <c r="F41" s="28">
        <f t="shared" si="4"/>
        <v>1</v>
      </c>
      <c r="G41" s="28">
        <f t="shared" si="5"/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2" width="8.28125" style="0" customWidth="1"/>
    <col min="3" max="3" width="9.7109375" style="0" customWidth="1"/>
    <col min="4" max="4" width="8.28125" style="0" customWidth="1"/>
    <col min="5" max="6" width="9.7109375" style="0" customWidth="1"/>
    <col min="7" max="8" width="8.28125" style="0" customWidth="1"/>
    <col min="9" max="18" width="6.7109375" style="0" customWidth="1"/>
  </cols>
  <sheetData>
    <row r="1" ht="12.75">
      <c r="A1" s="7" t="s">
        <v>50</v>
      </c>
    </row>
    <row r="2" ht="12.75">
      <c r="A2" s="7" t="s">
        <v>59</v>
      </c>
    </row>
    <row r="4" spans="1:16" ht="12.75">
      <c r="A4" s="6" t="s">
        <v>72</v>
      </c>
      <c r="B4" s="6" t="s">
        <v>5</v>
      </c>
      <c r="C4" s="6" t="s">
        <v>1</v>
      </c>
      <c r="D4" s="6" t="s">
        <v>6</v>
      </c>
      <c r="E4" s="6" t="s">
        <v>52</v>
      </c>
      <c r="F4" s="6" t="s">
        <v>62</v>
      </c>
      <c r="G4" s="6" t="s">
        <v>63</v>
      </c>
      <c r="H4" s="6" t="s">
        <v>2</v>
      </c>
      <c r="I4" s="6" t="s">
        <v>14</v>
      </c>
      <c r="J4" s="6" t="s">
        <v>53</v>
      </c>
      <c r="K4" s="6" t="s">
        <v>17</v>
      </c>
      <c r="L4" s="6" t="s">
        <v>22</v>
      </c>
      <c r="M4" s="6" t="s">
        <v>24</v>
      </c>
      <c r="N4" s="6" t="s">
        <v>23</v>
      </c>
      <c r="O4" s="6" t="s">
        <v>25</v>
      </c>
      <c r="P4" s="6" t="s">
        <v>65</v>
      </c>
    </row>
    <row r="5" spans="1:16" ht="12.75">
      <c r="A5" s="1">
        <v>0</v>
      </c>
      <c r="B5" s="2">
        <v>55066</v>
      </c>
      <c r="C5" s="26">
        <v>5014060</v>
      </c>
      <c r="D5" s="2">
        <v>91.05547</v>
      </c>
      <c r="E5" s="11">
        <v>1.41E-09</v>
      </c>
      <c r="F5" s="11">
        <v>13726.22</v>
      </c>
      <c r="G5" s="11">
        <v>7.21E-05</v>
      </c>
      <c r="H5" s="3">
        <v>0.4802235</v>
      </c>
      <c r="I5" s="3">
        <v>0.7121685</v>
      </c>
      <c r="J5" s="3">
        <v>0.2499532</v>
      </c>
      <c r="K5" s="29">
        <v>0.0378783</v>
      </c>
      <c r="L5" s="3">
        <v>0</v>
      </c>
      <c r="M5" s="3">
        <v>0</v>
      </c>
      <c r="N5" s="3">
        <v>0</v>
      </c>
      <c r="O5" s="29">
        <v>0</v>
      </c>
      <c r="P5" s="3">
        <v>0.8544145</v>
      </c>
    </row>
    <row r="6" spans="1:16" ht="12.75">
      <c r="A6" s="1">
        <v>10</v>
      </c>
      <c r="B6" s="2">
        <v>54789</v>
      </c>
      <c r="C6" s="26">
        <v>5014158</v>
      </c>
      <c r="D6" s="2">
        <v>91.5176</v>
      </c>
      <c r="E6" s="11">
        <v>0.0001445</v>
      </c>
      <c r="F6" s="11">
        <v>13692.04</v>
      </c>
      <c r="G6" s="11">
        <v>0.0002166</v>
      </c>
      <c r="H6" s="3">
        <v>0.4886369</v>
      </c>
      <c r="I6" s="3">
        <v>0.7177967</v>
      </c>
      <c r="J6" s="3">
        <v>0.2457495</v>
      </c>
      <c r="K6" s="29">
        <v>0.0364537</v>
      </c>
      <c r="L6" s="3">
        <v>0</v>
      </c>
      <c r="M6" s="3">
        <v>0</v>
      </c>
      <c r="N6" s="3">
        <v>0</v>
      </c>
      <c r="O6" s="29">
        <v>0</v>
      </c>
      <c r="P6" s="3">
        <v>0.8552033</v>
      </c>
    </row>
    <row r="7" spans="1:16" ht="12.75">
      <c r="A7" s="1">
        <v>20</v>
      </c>
      <c r="B7" s="2">
        <v>55477</v>
      </c>
      <c r="C7" s="26">
        <v>5013877</v>
      </c>
      <c r="D7" s="2">
        <v>90.37758</v>
      </c>
      <c r="E7" s="11">
        <v>0.0002883</v>
      </c>
      <c r="F7" s="11">
        <v>13761.23</v>
      </c>
      <c r="G7" s="11">
        <v>0.0003616</v>
      </c>
      <c r="H7" s="3">
        <v>0.4851654</v>
      </c>
      <c r="I7" s="3">
        <v>0.7132781</v>
      </c>
      <c r="J7" s="3">
        <v>0.2489693</v>
      </c>
      <c r="K7" s="29">
        <v>0.0377526</v>
      </c>
      <c r="L7" s="3">
        <v>0</v>
      </c>
      <c r="M7" s="3">
        <v>0</v>
      </c>
      <c r="N7" s="3">
        <v>0</v>
      </c>
      <c r="O7" s="29">
        <v>0</v>
      </c>
      <c r="P7" s="3">
        <v>0.8541006</v>
      </c>
    </row>
    <row r="8" spans="1:16" ht="12.75">
      <c r="A8" s="1">
        <v>30</v>
      </c>
      <c r="B8" s="2">
        <v>55098</v>
      </c>
      <c r="C8" s="26">
        <v>5013999</v>
      </c>
      <c r="D8" s="2">
        <v>91.00146</v>
      </c>
      <c r="E8" s="11">
        <v>0.0004351</v>
      </c>
      <c r="F8" s="11">
        <v>13772.72</v>
      </c>
      <c r="G8" s="11">
        <v>0.0005072</v>
      </c>
      <c r="H8" s="3">
        <v>0.4861334</v>
      </c>
      <c r="I8" s="3">
        <v>0.7125686</v>
      </c>
      <c r="J8" s="3">
        <v>0.2505124</v>
      </c>
      <c r="K8" s="29">
        <v>0.0369189</v>
      </c>
      <c r="L8" s="3">
        <v>0</v>
      </c>
      <c r="M8" s="3">
        <v>0</v>
      </c>
      <c r="N8" s="3">
        <v>0</v>
      </c>
      <c r="O8" s="29">
        <v>0</v>
      </c>
      <c r="P8" s="3">
        <v>0.8528572</v>
      </c>
    </row>
    <row r="9" spans="1:16" ht="12.75">
      <c r="A9" s="1">
        <v>40</v>
      </c>
      <c r="B9" s="2">
        <v>55499</v>
      </c>
      <c r="C9" s="26">
        <v>5014004</v>
      </c>
      <c r="D9" s="2">
        <v>90.34404</v>
      </c>
      <c r="E9" s="11">
        <v>0.0005794</v>
      </c>
      <c r="F9" s="11">
        <v>13703.25</v>
      </c>
      <c r="G9" s="11">
        <v>0.0006531</v>
      </c>
      <c r="H9" s="3">
        <v>0.4868725</v>
      </c>
      <c r="I9" s="3">
        <v>0.7115488</v>
      </c>
      <c r="J9" s="3">
        <v>0.2508234</v>
      </c>
      <c r="K9" s="29">
        <v>0.0376278</v>
      </c>
      <c r="L9" s="3">
        <v>0</v>
      </c>
      <c r="M9" s="3">
        <v>0</v>
      </c>
      <c r="N9" s="3">
        <v>0</v>
      </c>
      <c r="O9" s="29">
        <v>0</v>
      </c>
      <c r="P9" s="3">
        <v>0.855961</v>
      </c>
    </row>
    <row r="10" spans="1:16" ht="12.75">
      <c r="A10" s="1">
        <v>50</v>
      </c>
      <c r="B10" s="2">
        <v>55083</v>
      </c>
      <c r="C10" s="26">
        <v>5014026</v>
      </c>
      <c r="D10" s="2">
        <v>91.02675</v>
      </c>
      <c r="E10" s="11">
        <v>0.0007256</v>
      </c>
      <c r="F10" s="11">
        <v>13677.01</v>
      </c>
      <c r="G10" s="11">
        <v>0.0007979</v>
      </c>
      <c r="H10" s="3">
        <v>0.4852828</v>
      </c>
      <c r="I10" s="3">
        <v>0.7145152</v>
      </c>
      <c r="J10" s="3">
        <v>0.2480857</v>
      </c>
      <c r="K10" s="29">
        <v>0.0373991</v>
      </c>
      <c r="L10" s="3">
        <v>0</v>
      </c>
      <c r="M10" s="3">
        <v>0</v>
      </c>
      <c r="N10" s="3">
        <v>0</v>
      </c>
      <c r="O10" s="29">
        <v>0</v>
      </c>
      <c r="P10" s="3">
        <v>0.8508666</v>
      </c>
    </row>
    <row r="11" spans="1:16" ht="12.75">
      <c r="A11" s="1">
        <v>60</v>
      </c>
      <c r="B11" s="2">
        <v>56330</v>
      </c>
      <c r="C11" s="26">
        <v>5068616</v>
      </c>
      <c r="D11" s="2">
        <v>89.98075</v>
      </c>
      <c r="E11" s="11">
        <v>0.0008699</v>
      </c>
      <c r="F11" s="11">
        <v>14161.32</v>
      </c>
      <c r="G11" s="11">
        <v>0.217827</v>
      </c>
      <c r="H11" s="3">
        <v>0.4835177</v>
      </c>
      <c r="I11" s="3">
        <v>0.7114325</v>
      </c>
      <c r="J11" s="3">
        <v>0.2449222</v>
      </c>
      <c r="K11" s="29">
        <v>0.0436452</v>
      </c>
      <c r="L11" s="3">
        <v>0.0051678</v>
      </c>
      <c r="M11" s="3">
        <v>0.2486615</v>
      </c>
      <c r="N11" s="3">
        <v>0.7396564</v>
      </c>
      <c r="O11" s="29">
        <v>0.002728</v>
      </c>
      <c r="P11" s="3">
        <v>0.8646639</v>
      </c>
    </row>
    <row r="12" spans="1:16" ht="12.75">
      <c r="A12" s="1">
        <v>70</v>
      </c>
      <c r="B12" s="2">
        <v>74106</v>
      </c>
      <c r="C12" s="26">
        <v>4961749</v>
      </c>
      <c r="D12" s="2">
        <v>66.95475</v>
      </c>
      <c r="E12" s="11">
        <v>3.5</v>
      </c>
      <c r="F12" s="11">
        <v>20223.78</v>
      </c>
      <c r="G12" s="11">
        <v>71.04128</v>
      </c>
      <c r="H12" s="3">
        <v>0.4821048</v>
      </c>
      <c r="I12" s="3">
        <v>0.6265334</v>
      </c>
      <c r="J12" s="3">
        <v>0.2892588</v>
      </c>
      <c r="K12" s="29">
        <v>0.0842077</v>
      </c>
      <c r="L12" s="3">
        <v>0.0568005</v>
      </c>
      <c r="M12" s="3">
        <v>0.2894768</v>
      </c>
      <c r="N12" s="3">
        <v>0.6468619</v>
      </c>
      <c r="O12" s="29">
        <v>0.0068608</v>
      </c>
      <c r="P12" s="3">
        <v>0.9357386</v>
      </c>
    </row>
    <row r="13" spans="1:16" ht="12.75">
      <c r="A13" s="1">
        <v>80</v>
      </c>
      <c r="B13" s="2">
        <v>101438</v>
      </c>
      <c r="C13" s="26">
        <v>5011845</v>
      </c>
      <c r="D13" s="2">
        <v>49.40796</v>
      </c>
      <c r="E13" s="11">
        <v>225</v>
      </c>
      <c r="F13" s="11">
        <v>21350.99</v>
      </c>
      <c r="G13" s="11">
        <v>873.347</v>
      </c>
      <c r="H13" s="3">
        <v>0.4656456</v>
      </c>
      <c r="I13" s="3">
        <v>0.510456</v>
      </c>
      <c r="J13" s="3">
        <v>0.3812098</v>
      </c>
      <c r="K13" s="29">
        <v>0.1083342</v>
      </c>
      <c r="L13" s="3">
        <v>0.347544</v>
      </c>
      <c r="M13" s="3">
        <v>0.2359398</v>
      </c>
      <c r="N13" s="3">
        <v>0.3995719</v>
      </c>
      <c r="O13" s="29">
        <v>0.0169443</v>
      </c>
      <c r="P13" s="3">
        <v>0.9288728</v>
      </c>
    </row>
    <row r="14" spans="1:16" ht="12.75">
      <c r="A14" s="1">
        <v>90</v>
      </c>
      <c r="B14" s="2">
        <v>170142</v>
      </c>
      <c r="C14" s="26">
        <v>4512490</v>
      </c>
      <c r="D14" s="2">
        <v>26.5219</v>
      </c>
      <c r="E14" s="11">
        <v>2082</v>
      </c>
      <c r="F14" s="11">
        <v>24124.87</v>
      </c>
      <c r="G14" s="11">
        <v>6155.436</v>
      </c>
      <c r="H14" s="3">
        <v>0.4707915</v>
      </c>
      <c r="I14" s="3">
        <v>0.4653393</v>
      </c>
      <c r="J14" s="3">
        <v>0.346316</v>
      </c>
      <c r="K14" s="29">
        <v>0.1883447</v>
      </c>
      <c r="L14" s="3">
        <v>0.6604956</v>
      </c>
      <c r="M14" s="3">
        <v>0.0928444</v>
      </c>
      <c r="N14" s="3">
        <v>0.2087246</v>
      </c>
      <c r="O14" s="29">
        <v>0.0379353</v>
      </c>
      <c r="P14" s="3">
        <v>0.9017976</v>
      </c>
    </row>
    <row r="15" spans="1:16" ht="12.75">
      <c r="A15" s="1">
        <v>99</v>
      </c>
      <c r="B15" s="2">
        <v>64939</v>
      </c>
      <c r="C15" s="26">
        <v>451184.1</v>
      </c>
      <c r="D15" s="2">
        <v>6.947814</v>
      </c>
      <c r="E15" s="11">
        <v>20498</v>
      </c>
      <c r="F15" s="11">
        <v>38715.21</v>
      </c>
      <c r="G15" s="11">
        <v>39215.26</v>
      </c>
      <c r="H15" s="3">
        <v>0.4806152</v>
      </c>
      <c r="I15" s="3">
        <v>0.5365223</v>
      </c>
      <c r="J15" s="3">
        <v>0.2496583</v>
      </c>
      <c r="K15" s="29">
        <v>0.2138194</v>
      </c>
      <c r="L15" s="3">
        <v>0.4728876</v>
      </c>
      <c r="M15" s="3">
        <v>0.0459456</v>
      </c>
      <c r="N15" s="3">
        <v>0.3669126</v>
      </c>
      <c r="O15" s="29">
        <v>0.1142543</v>
      </c>
      <c r="P15" s="3">
        <v>0.8606088</v>
      </c>
    </row>
    <row r="16" spans="1:16" ht="12.75">
      <c r="A16" s="1">
        <v>999</v>
      </c>
      <c r="B16" s="2">
        <v>39266</v>
      </c>
      <c r="C16" s="26">
        <v>50139.02</v>
      </c>
      <c r="D16" s="2">
        <v>1.276907</v>
      </c>
      <c r="E16" s="11">
        <v>110336.5</v>
      </c>
      <c r="F16" s="11">
        <v>84496.34</v>
      </c>
      <c r="G16" s="41">
        <v>394580.2</v>
      </c>
      <c r="H16" s="3">
        <v>0.5268956</v>
      </c>
      <c r="I16" s="3">
        <v>0.7082655</v>
      </c>
      <c r="J16" s="3">
        <v>0.1224571</v>
      </c>
      <c r="K16" s="29">
        <v>0.1692775</v>
      </c>
      <c r="L16" s="3">
        <v>0.1100546</v>
      </c>
      <c r="M16" s="3">
        <v>0.0165903</v>
      </c>
      <c r="N16" s="3">
        <v>0.3106097</v>
      </c>
      <c r="O16" s="29">
        <v>0.5627453</v>
      </c>
      <c r="P16" s="3">
        <v>0.844247</v>
      </c>
    </row>
    <row r="17" spans="1:16" ht="12.75">
      <c r="A17" s="1" t="s">
        <v>55</v>
      </c>
      <c r="B17" s="2">
        <f>SUM(B5:B9)</f>
        <v>275929</v>
      </c>
      <c r="C17" s="39">
        <f>SUM(C5:C9)</f>
        <v>25070098</v>
      </c>
      <c r="D17" s="35">
        <f>C17/B17</f>
        <v>90.85706105556139</v>
      </c>
      <c r="E17" s="11">
        <f>E5</f>
        <v>1.41E-09</v>
      </c>
      <c r="F17" s="37">
        <f>SUMPRODUCT($C5:$C9,F5:F9)/$C17</f>
        <v>13731.091588254263</v>
      </c>
      <c r="G17" s="37">
        <f>SUMPRODUCT($C5:$C9,G5:G9)/$C17</f>
        <v>0.00036211843197421885</v>
      </c>
      <c r="H17" s="3">
        <f>SUMPRODUCT($C5:$C9,H5:H9)/$C17</f>
        <v>0.48540634934305393</v>
      </c>
      <c r="I17" s="3">
        <f>SUMPRODUCT($B24:$B28,I5:I9)/$B36</f>
        <v>0.7134699443552657</v>
      </c>
      <c r="J17" s="3">
        <f>SUMPRODUCT($B24:$B28,J5:J9)/$B36</f>
        <v>0.24920348681600846</v>
      </c>
      <c r="K17" s="3">
        <f>SUMPRODUCT($B24:$B28,K5:K9)/$B36</f>
        <v>0.03732652882450448</v>
      </c>
      <c r="L17" s="3">
        <f>SUMPRODUCT($C24:$C28,L5:L9)/$C36</f>
        <v>0</v>
      </c>
      <c r="M17" s="3">
        <f>SUMPRODUCT($C24:$C28,M5:M9)/$C36</f>
        <v>0</v>
      </c>
      <c r="N17" s="3">
        <f>SUMPRODUCT($C24:$C28,N5:N9)/$C36</f>
        <v>0</v>
      </c>
      <c r="O17" s="3">
        <f>SUMPRODUCT($C24:$C28,O5:O9)/$C36</f>
        <v>0</v>
      </c>
      <c r="P17" s="3">
        <f>SUMPRODUCT($C5:$C9,P5:P9)/$C17</f>
        <v>0.8545073264573755</v>
      </c>
    </row>
    <row r="18" spans="1:16" ht="12.75">
      <c r="A18" s="1" t="s">
        <v>56</v>
      </c>
      <c r="B18" s="2">
        <f>SUM(B10:B13)</f>
        <v>286957</v>
      </c>
      <c r="C18" s="39">
        <f>SUM(C10:C13)</f>
        <v>20056236</v>
      </c>
      <c r="D18" s="35">
        <f>C18/B18</f>
        <v>69.89282714831839</v>
      </c>
      <c r="E18" s="11">
        <f>E10</f>
        <v>0.0007256</v>
      </c>
      <c r="F18" s="37">
        <f>SUMPRODUCT($C10:$C13,F10:F13)/$C18</f>
        <v>17336.670227810944</v>
      </c>
      <c r="G18" s="37">
        <f>SUMPRODUCT($C10:$C13,G10:G13)/$C18</f>
        <v>235.8706228487986</v>
      </c>
      <c r="H18" s="3">
        <f>SUMPRODUCT($C10:$C13,H10:H13)/$C18</f>
        <v>0.4791433800680846</v>
      </c>
      <c r="I18" s="3">
        <f>SUMPRODUCT($B29:$B32,I10:I13)/$B37</f>
        <v>0.6256885449975974</v>
      </c>
      <c r="J18" s="3">
        <f>SUMPRODUCT($B29:$B32,J10:J13)/$B37</f>
        <v>0.3002839901766919</v>
      </c>
      <c r="K18" s="3">
        <f>SUMPRODUCT($B29:$B32,K10:K13)/$B37</f>
        <v>0.07402741532341539</v>
      </c>
      <c r="L18" s="3">
        <f>SUMPRODUCT($C29:$C32,L10:L13)/$C37</f>
        <v>0.32580011643849766</v>
      </c>
      <c r="M18" s="3">
        <f>SUMPRODUCT($C29:$C32,M10:M13)/$C37</f>
        <v>0.239931682335847</v>
      </c>
      <c r="N18" s="3">
        <f>SUMPRODUCT($C29:$C32,N10:N13)/$C37</f>
        <v>0.418076839037856</v>
      </c>
      <c r="O18" s="3">
        <f>SUMPRODUCT($C29:$C32,O10:O13)/$C37</f>
        <v>0.016189632821150803</v>
      </c>
      <c r="P18" s="3">
        <f>SUMPRODUCT($C10:$C13,P10:P13)/$C18</f>
        <v>0.8948430350650741</v>
      </c>
    </row>
    <row r="19" spans="1:16" ht="12.75">
      <c r="A19" s="1" t="s">
        <v>57</v>
      </c>
      <c r="B19" s="2">
        <f>SUM(B14:B16)</f>
        <v>274347</v>
      </c>
      <c r="C19" s="39">
        <f>SUM(C14:C16)</f>
        <v>5013813.119999999</v>
      </c>
      <c r="D19" s="35">
        <f>C19/B19</f>
        <v>18.27544358057496</v>
      </c>
      <c r="E19" s="11">
        <f>E14</f>
        <v>2082</v>
      </c>
      <c r="F19" s="37">
        <f>SUMPRODUCT($C14:$C16,F14:F16)/$C19</f>
        <v>26041.554075243992</v>
      </c>
      <c r="G19" s="37">
        <f>SUMPRODUCT($C14:$C16,G14:G16)/$C19</f>
        <v>13014.747092211128</v>
      </c>
      <c r="H19" s="3">
        <f>SUMPRODUCT($C14:$C16,H14:H16)/$C19</f>
        <v>0.4722365681869754</v>
      </c>
      <c r="I19" s="3">
        <f>SUMPRODUCT($B33:$B35,I14:I16)/$B38</f>
        <v>0.48274466462187693</v>
      </c>
      <c r="J19" s="3">
        <f>SUMPRODUCT($B33:$B35,J14:J16)/$B38</f>
        <v>0.3261212406174758</v>
      </c>
      <c r="K19" s="3">
        <f>SUMPRODUCT($B33:$B35,K14:K16)/$B38</f>
        <v>0.19113409800537848</v>
      </c>
      <c r="L19" s="3">
        <f>SUMPRODUCT($C33:$C35,L14:L16)/$C38</f>
        <v>0.4427409504333413</v>
      </c>
      <c r="M19" s="3">
        <f>SUMPRODUCT($C33:$C35,M14:M16)/$C38</f>
        <v>0.05700885005319708</v>
      </c>
      <c r="N19" s="3">
        <f>SUMPRODUCT($C33:$C35,N14:N16)/$C38</f>
        <v>0.282506823527493</v>
      </c>
      <c r="O19" s="3">
        <f>SUMPRODUCT($C33:$C35,O14:O16)/$C38</f>
        <v>0.21774333021539427</v>
      </c>
      <c r="P19" s="3">
        <f>SUMPRODUCT($C14:$C16,P14:P16)/$C19</f>
        <v>0.897515577150594</v>
      </c>
    </row>
    <row r="20" spans="1:16" ht="12.75">
      <c r="A20" s="1" t="s">
        <v>58</v>
      </c>
      <c r="B20" s="2">
        <f>B15+B16</f>
        <v>104205</v>
      </c>
      <c r="C20" s="39">
        <f>C15+C16</f>
        <v>501323.12</v>
      </c>
      <c r="D20" s="35">
        <f>C20/B20</f>
        <v>4.810931529197255</v>
      </c>
      <c r="E20" s="11">
        <f>E15</f>
        <v>20498</v>
      </c>
      <c r="F20" s="37">
        <f>SUMPRODUCT($C15:$C16,F15:F16)/$C20</f>
        <v>43293.93557861006</v>
      </c>
      <c r="G20" s="37">
        <f>SUMPRODUCT($C15:$C16,G15:G16)/$C20</f>
        <v>74756.5089931819</v>
      </c>
      <c r="H20" s="40">
        <f>SUMPRODUCT($C15:$C16,H15:H16)/$C20</f>
        <v>0.4852438592591381</v>
      </c>
      <c r="I20" s="3">
        <f>SUMPRODUCT($B34:$B35,I15:I16)/$B39</f>
        <v>0.5700457331863791</v>
      </c>
      <c r="J20" s="3">
        <f>SUMPRODUCT($B34:$B35,J15:J16)/$B39</f>
        <v>0.224829247499364</v>
      </c>
      <c r="K20" s="3">
        <f>SUMPRODUCT($B34:$B35,K15:K16)/$B39</f>
        <v>0.2051250388337683</v>
      </c>
      <c r="L20" s="3">
        <f>SUMPRODUCT($C34:$C35,L15:L16)/$C39</f>
        <v>0.2813512693325698</v>
      </c>
      <c r="M20" s="3">
        <f>SUMPRODUCT($C34:$C35,M15:M16)/$C39</f>
        <v>0.030449196840305004</v>
      </c>
      <c r="N20" s="3">
        <f>SUMPRODUCT($C34:$C35,N15:N16)/$C39</f>
        <v>0.3371907972093628</v>
      </c>
      <c r="O20" s="3">
        <f>SUMPRODUCT($C34:$C35,O15:O16)/$C39</f>
        <v>0.35100873103953173</v>
      </c>
      <c r="P20" s="40">
        <f>SUMPRODUCT($C15:$C16,P15:P16)/$C20</f>
        <v>0.8589724010694341</v>
      </c>
    </row>
    <row r="21" spans="1:16" ht="30" customHeight="1">
      <c r="A21" s="16" t="s">
        <v>42</v>
      </c>
      <c r="B21" s="17">
        <f>SUM(B5:B16)</f>
        <v>837233</v>
      </c>
      <c r="C21" s="27">
        <f>SUM(C5:C16)</f>
        <v>50140147.120000005</v>
      </c>
      <c r="D21" s="17">
        <f>C21/B21</f>
        <v>59.887925010122636</v>
      </c>
      <c r="E21" s="14"/>
      <c r="F21" s="38">
        <f>SUMPRODUCT($C5:$C16,F5:F16)/$C21</f>
        <v>16404.33253669535</v>
      </c>
      <c r="G21" s="38">
        <f>SUMPRODUCT($C5:$C16,G5:G16)/$C21</f>
        <v>1395.7716460740428</v>
      </c>
      <c r="H21" s="15">
        <f>SUMPRODUCT($C5:$C16,H5:H16)/$C21</f>
        <v>0.4815842143395654</v>
      </c>
      <c r="I21" s="15">
        <f>SUMPRODUCT($B24:$B35,I5:I16)/$B40</f>
        <v>0.6397357298868103</v>
      </c>
      <c r="J21" s="15">
        <f>SUMPRODUCT($B24:$B35,J5:J16)/$B40</f>
        <v>0.2830071905253818</v>
      </c>
      <c r="K21" s="15">
        <f>SUMPRODUCT($B24:$B35,K5:K16)/$B40</f>
        <v>0.07725704243380292</v>
      </c>
      <c r="L21" s="15">
        <f>SUMPRODUCT($C24:$C35,L5:L16)/$C40</f>
        <v>0.4348361183012686</v>
      </c>
      <c r="M21" s="15">
        <f>SUMPRODUCT($C24:$C35,M5:M16)/$C40</f>
        <v>0.06937376025983437</v>
      </c>
      <c r="N21" s="15">
        <f>SUMPRODUCT($C24:$C35,N5:N16)/$C40</f>
        <v>0.2916708264385304</v>
      </c>
      <c r="O21" s="15">
        <f>SUMPRODUCT($C24:$C35,O5:O16)/$C40</f>
        <v>0.20411900570490735</v>
      </c>
      <c r="P21" s="15">
        <f>SUMPRODUCT($C5:$C16,P5:P16)/$C21</f>
        <v>0.8749424045636468</v>
      </c>
    </row>
    <row r="22" spans="1:14" ht="15" customHeight="1">
      <c r="A22" s="16"/>
      <c r="B22" s="33" t="s">
        <v>54</v>
      </c>
      <c r="D22" t="s">
        <v>70</v>
      </c>
      <c r="H22" s="15"/>
      <c r="I22" s="15"/>
      <c r="J22" s="15"/>
      <c r="K22" s="28"/>
      <c r="L22" s="28"/>
      <c r="M22" s="28"/>
      <c r="N22" s="28"/>
    </row>
    <row r="23" spans="1:7" ht="12.75">
      <c r="A23" s="6" t="s">
        <v>72</v>
      </c>
      <c r="B23" s="6" t="s">
        <v>62</v>
      </c>
      <c r="C23" s="6" t="s">
        <v>63</v>
      </c>
      <c r="D23" s="6" t="s">
        <v>73</v>
      </c>
      <c r="E23" s="6" t="s">
        <v>62</v>
      </c>
      <c r="F23" s="6" t="s">
        <v>63</v>
      </c>
      <c r="G23" s="6" t="s">
        <v>61</v>
      </c>
    </row>
    <row r="24" spans="1:7" ht="12.75">
      <c r="A24" s="1">
        <v>0</v>
      </c>
      <c r="B24" s="34">
        <f aca="true" t="shared" si="0" ref="B24:B40">$C5*F5/1000000000</f>
        <v>68.8240906532</v>
      </c>
      <c r="C24" s="34">
        <f aca="true" t="shared" si="1" ref="C24:C40">$C5*G5/1000000000</f>
        <v>3.6151372600000003E-07</v>
      </c>
      <c r="D24" s="3">
        <f aca="true" t="shared" si="2" ref="D24:D40">C24/(B24+C24)</f>
        <v>5.252720677745136E-09</v>
      </c>
      <c r="E24" s="3">
        <f aca="true" t="shared" si="3" ref="E24:E40">B24/B$40</f>
        <v>0.08367511417120513</v>
      </c>
      <c r="F24" s="3">
        <f aca="true" t="shared" si="4" ref="F24:F40">C24/C$40</f>
        <v>5.165648079355076E-09</v>
      </c>
      <c r="G24" s="3">
        <f aca="true" t="shared" si="5" ref="G24:G40">(B24+C24)/(B$40+C$40)</f>
        <v>0.07711384107791806</v>
      </c>
    </row>
    <row r="25" spans="1:7" ht="12.75">
      <c r="A25" s="1">
        <v>10</v>
      </c>
      <c r="B25" s="34">
        <f t="shared" si="0"/>
        <v>68.65405190232</v>
      </c>
      <c r="C25" s="34">
        <f t="shared" si="1"/>
        <v>1.0860666228E-06</v>
      </c>
      <c r="D25" s="3">
        <f t="shared" si="2"/>
        <v>1.5819410151702432E-08</v>
      </c>
      <c r="E25" s="3">
        <f t="shared" si="3"/>
        <v>0.0834683840603039</v>
      </c>
      <c r="F25" s="3">
        <f t="shared" si="4"/>
        <v>1.55187412278738E-08</v>
      </c>
      <c r="G25" s="3">
        <f t="shared" si="5"/>
        <v>0.07692332224728668</v>
      </c>
    </row>
    <row r="26" spans="1:7" ht="12.75">
      <c r="A26" s="1">
        <v>20</v>
      </c>
      <c r="B26" s="34">
        <f t="shared" si="0"/>
        <v>68.99711458870999</v>
      </c>
      <c r="C26" s="34">
        <f t="shared" si="1"/>
        <v>1.8130179232E-06</v>
      </c>
      <c r="D26" s="3">
        <f t="shared" si="2"/>
        <v>2.6276720213115985E-08</v>
      </c>
      <c r="E26" s="3">
        <f t="shared" si="3"/>
        <v>0.08388547361686932</v>
      </c>
      <c r="F26" s="3">
        <f t="shared" si="4"/>
        <v>2.5906105022453306E-08</v>
      </c>
      <c r="G26" s="3">
        <f t="shared" si="5"/>
        <v>0.07730770709198288</v>
      </c>
    </row>
    <row r="27" spans="1:7" ht="12.75">
      <c r="A27" s="1">
        <v>30</v>
      </c>
      <c r="B27" s="34">
        <f t="shared" si="0"/>
        <v>69.05640430728</v>
      </c>
      <c r="C27" s="34">
        <f t="shared" si="1"/>
        <v>2.5431002928E-06</v>
      </c>
      <c r="D27" s="3">
        <f t="shared" si="2"/>
        <v>3.68264207303742E-08</v>
      </c>
      <c r="E27" s="3">
        <f t="shared" si="3"/>
        <v>0.0839575570098127</v>
      </c>
      <c r="F27" s="3">
        <f t="shared" si="4"/>
        <v>3.633820847817449E-08</v>
      </c>
      <c r="G27" s="3">
        <f t="shared" si="5"/>
        <v>0.07737413897894876</v>
      </c>
    </row>
    <row r="28" spans="1:7" ht="12.75">
      <c r="A28" s="1">
        <v>40</v>
      </c>
      <c r="B28" s="34">
        <f t="shared" si="0"/>
        <v>68.708150313</v>
      </c>
      <c r="C28" s="34">
        <f t="shared" si="1"/>
        <v>3.2746460124E-06</v>
      </c>
      <c r="D28" s="3">
        <f t="shared" si="2"/>
        <v>4.76602243170859E-08</v>
      </c>
      <c r="E28" s="3">
        <f t="shared" si="3"/>
        <v>0.08353415595277885</v>
      </c>
      <c r="F28" s="3">
        <f t="shared" si="4"/>
        <v>4.67912216548088E-08</v>
      </c>
      <c r="G28" s="3">
        <f t="shared" si="5"/>
        <v>0.07698393917592317</v>
      </c>
    </row>
    <row r="29" spans="1:7" ht="12.75">
      <c r="A29" s="1">
        <v>50</v>
      </c>
      <c r="B29" s="34">
        <f t="shared" si="0"/>
        <v>68.57688374226001</v>
      </c>
      <c r="C29" s="34">
        <f t="shared" si="1"/>
        <v>4.0006913454E-06</v>
      </c>
      <c r="D29" s="3">
        <f t="shared" si="2"/>
        <v>5.833877093396105E-08</v>
      </c>
      <c r="E29" s="3">
        <f t="shared" si="3"/>
        <v>0.08337456437388131</v>
      </c>
      <c r="F29" s="3">
        <f t="shared" si="4"/>
        <v>5.71656401352185E-08</v>
      </c>
      <c r="G29" s="3">
        <f t="shared" si="5"/>
        <v>0.07683686257327571</v>
      </c>
    </row>
    <row r="30" spans="1:7" ht="12.75">
      <c r="A30" s="1">
        <v>60</v>
      </c>
      <c r="B30" s="34">
        <f t="shared" si="0"/>
        <v>71.77829313312</v>
      </c>
      <c r="C30" s="34">
        <f t="shared" si="1"/>
        <v>0.001104081417432</v>
      </c>
      <c r="D30" s="3">
        <f t="shared" si="2"/>
        <v>1.5381592215549993E-05</v>
      </c>
      <c r="E30" s="3">
        <f t="shared" si="3"/>
        <v>0.08726678138316661</v>
      </c>
      <c r="F30" s="3">
        <f t="shared" si="4"/>
        <v>1.577615355442753E-05</v>
      </c>
      <c r="G30" s="3">
        <f t="shared" si="5"/>
        <v>0.08042510911313368</v>
      </c>
    </row>
    <row r="31" spans="1:7" ht="12.75">
      <c r="A31" s="1">
        <v>70</v>
      </c>
      <c r="B31" s="34">
        <f t="shared" si="0"/>
        <v>100.34532019122</v>
      </c>
      <c r="C31" s="34">
        <f t="shared" si="1"/>
        <v>0.35248899999871997</v>
      </c>
      <c r="D31" s="3">
        <f t="shared" si="2"/>
        <v>0.003500463444337362</v>
      </c>
      <c r="E31" s="3">
        <f t="shared" si="3"/>
        <v>0.12199806846494199</v>
      </c>
      <c r="F31" s="3">
        <f t="shared" si="4"/>
        <v>0.005036694307527286</v>
      </c>
      <c r="G31" s="3">
        <f t="shared" si="5"/>
        <v>0.11282669687865629</v>
      </c>
    </row>
    <row r="32" spans="1:7" ht="12.75">
      <c r="A32" s="1">
        <v>80</v>
      </c>
      <c r="B32" s="34">
        <f t="shared" si="0"/>
        <v>107.00785247655</v>
      </c>
      <c r="C32" s="34">
        <f t="shared" si="1"/>
        <v>4.377079795215</v>
      </c>
      <c r="D32" s="3">
        <f t="shared" si="2"/>
        <v>0.03929687531286085</v>
      </c>
      <c r="E32" s="3">
        <f t="shared" si="3"/>
        <v>0.13009825757537244</v>
      </c>
      <c r="F32" s="3">
        <f t="shared" si="4"/>
        <v>0.06254383225641692</v>
      </c>
      <c r="G32" s="3">
        <f t="shared" si="5"/>
        <v>0.12480106658936134</v>
      </c>
    </row>
    <row r="33" spans="1:7" ht="12.75">
      <c r="A33" s="1">
        <v>90</v>
      </c>
      <c r="B33" s="34">
        <f t="shared" si="0"/>
        <v>108.86323462629998</v>
      </c>
      <c r="C33" s="34">
        <f t="shared" si="1"/>
        <v>27.776343395639998</v>
      </c>
      <c r="D33" s="3">
        <f t="shared" si="2"/>
        <v>0.20328182945046855</v>
      </c>
      <c r="E33" s="3">
        <f t="shared" si="3"/>
        <v>0.13235399843207096</v>
      </c>
      <c r="F33" s="3">
        <f t="shared" si="4"/>
        <v>0.3968945149075606</v>
      </c>
      <c r="G33" s="3">
        <f t="shared" si="5"/>
        <v>0.15309759343258206</v>
      </c>
    </row>
    <row r="34" spans="1:7" ht="12.75">
      <c r="A34" s="1">
        <v>99</v>
      </c>
      <c r="B34" s="34">
        <f t="shared" si="0"/>
        <v>17.467687180161</v>
      </c>
      <c r="C34" s="34">
        <f t="shared" si="1"/>
        <v>17.693301789366</v>
      </c>
      <c r="D34" s="3">
        <f t="shared" si="2"/>
        <v>0.5032083086371737</v>
      </c>
      <c r="E34" s="3">
        <f t="shared" si="3"/>
        <v>0.021236905642122127</v>
      </c>
      <c r="F34" s="3">
        <f t="shared" si="4"/>
        <v>0.2528185344909648</v>
      </c>
      <c r="G34" s="3">
        <f t="shared" si="5"/>
        <v>0.03939607302563389</v>
      </c>
    </row>
    <row r="35" spans="1:7" ht="12.75">
      <c r="A35" s="1">
        <v>999</v>
      </c>
      <c r="B35" s="34">
        <f t="shared" si="0"/>
        <v>4.2365636811868</v>
      </c>
      <c r="C35" s="34">
        <f t="shared" si="1"/>
        <v>19.783864539404</v>
      </c>
      <c r="D35" s="3">
        <f t="shared" si="2"/>
        <v>0.8236266380315763</v>
      </c>
      <c r="E35" s="3">
        <f t="shared" si="3"/>
        <v>0.005150739317474791</v>
      </c>
      <c r="F35" s="3">
        <f t="shared" si="4"/>
        <v>0.28269046099841105</v>
      </c>
      <c r="G35" s="3">
        <f t="shared" si="5"/>
        <v>0.02691364981529763</v>
      </c>
    </row>
    <row r="36" spans="1:7" ht="12.75">
      <c r="A36" s="1" t="s">
        <v>55</v>
      </c>
      <c r="B36" s="36">
        <f t="shared" si="0"/>
        <v>344.23981176451</v>
      </c>
      <c r="C36" s="36">
        <f t="shared" si="1"/>
        <v>9.0783445772E-06</v>
      </c>
      <c r="D36" s="3">
        <f t="shared" si="2"/>
        <v>2.637215112119252E-08</v>
      </c>
      <c r="E36" s="5">
        <f t="shared" si="3"/>
        <v>0.4185206848109699</v>
      </c>
      <c r="F36" s="5">
        <f t="shared" si="4"/>
        <v>1.2971992446266548E-07</v>
      </c>
      <c r="G36" s="5">
        <f t="shared" si="5"/>
        <v>0.3857029485720596</v>
      </c>
    </row>
    <row r="37" spans="1:7" ht="12.75">
      <c r="A37" s="1" t="s">
        <v>56</v>
      </c>
      <c r="B37" s="36">
        <f t="shared" si="0"/>
        <v>347.70834954315006</v>
      </c>
      <c r="C37" s="36">
        <f t="shared" si="1"/>
        <v>4.730676877322497</v>
      </c>
      <c r="D37" s="3">
        <f t="shared" si="2"/>
        <v>0.013422681719925727</v>
      </c>
      <c r="E37" s="5">
        <f t="shared" si="3"/>
        <v>0.42273767179736244</v>
      </c>
      <c r="F37" s="5">
        <f t="shared" si="4"/>
        <v>0.06759635988313878</v>
      </c>
      <c r="G37" s="5">
        <f t="shared" si="5"/>
        <v>0.39488973515442705</v>
      </c>
    </row>
    <row r="38" spans="1:7" ht="12.75">
      <c r="A38" s="1" t="s">
        <v>57</v>
      </c>
      <c r="B38" s="36">
        <f t="shared" si="0"/>
        <v>130.56748548764776</v>
      </c>
      <c r="C38" s="36">
        <f t="shared" si="1"/>
        <v>65.25350972441</v>
      </c>
      <c r="D38" s="3">
        <f t="shared" si="2"/>
        <v>0.33323040593142683</v>
      </c>
      <c r="E38" s="5">
        <f t="shared" si="3"/>
        <v>0.15874164339166785</v>
      </c>
      <c r="F38" s="5">
        <f t="shared" si="4"/>
        <v>0.9324035103969364</v>
      </c>
      <c r="G38" s="5">
        <f t="shared" si="5"/>
        <v>0.21940731627351356</v>
      </c>
    </row>
    <row r="39" spans="1:7" ht="12.75">
      <c r="A39" s="1" t="s">
        <v>58</v>
      </c>
      <c r="B39" s="36">
        <f t="shared" si="0"/>
        <v>21.7042508613478</v>
      </c>
      <c r="C39" s="36">
        <f t="shared" si="1"/>
        <v>37.477166328770004</v>
      </c>
      <c r="D39" s="3">
        <f t="shared" si="2"/>
        <v>0.6332590212967728</v>
      </c>
      <c r="E39" s="5">
        <f t="shared" si="3"/>
        <v>0.026387644959596918</v>
      </c>
      <c r="F39" s="5">
        <f t="shared" si="4"/>
        <v>0.5355089954893759</v>
      </c>
      <c r="G39" s="5">
        <f t="shared" si="5"/>
        <v>0.06630972284093152</v>
      </c>
    </row>
    <row r="40" spans="1:7" ht="12.75">
      <c r="A40" s="16" t="s">
        <v>42</v>
      </c>
      <c r="B40" s="36">
        <f t="shared" si="0"/>
        <v>822.5156467953077</v>
      </c>
      <c r="C40" s="36">
        <f t="shared" si="1"/>
        <v>69.9841956800771</v>
      </c>
      <c r="D40" s="15">
        <f t="shared" si="2"/>
        <v>0.07841367846740799</v>
      </c>
      <c r="E40" s="28">
        <f t="shared" si="3"/>
        <v>1</v>
      </c>
      <c r="F40" s="28">
        <f t="shared" si="4"/>
        <v>1</v>
      </c>
      <c r="G40" s="28">
        <f t="shared" si="5"/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2" width="8.28125" style="0" customWidth="1"/>
    <col min="3" max="3" width="9.7109375" style="0" customWidth="1"/>
    <col min="4" max="4" width="8.28125" style="0" customWidth="1"/>
    <col min="5" max="6" width="9.7109375" style="0" customWidth="1"/>
    <col min="7" max="8" width="8.28125" style="0" customWidth="1"/>
    <col min="9" max="18" width="6.7109375" style="0" customWidth="1"/>
  </cols>
  <sheetData>
    <row r="1" ht="12.75">
      <c r="A1" s="7" t="s">
        <v>50</v>
      </c>
    </row>
    <row r="2" ht="12.75">
      <c r="A2" s="7" t="s">
        <v>60</v>
      </c>
    </row>
    <row r="3" spans="12:13" ht="12.75">
      <c r="L3" s="33"/>
      <c r="M3" s="33"/>
    </row>
    <row r="4" spans="1:16" ht="12.75">
      <c r="A4" s="6" t="s">
        <v>74</v>
      </c>
      <c r="B4" s="6" t="s">
        <v>5</v>
      </c>
      <c r="C4" s="6" t="s">
        <v>1</v>
      </c>
      <c r="D4" s="6" t="s">
        <v>6</v>
      </c>
      <c r="E4" s="6" t="s">
        <v>52</v>
      </c>
      <c r="F4" s="6" t="s">
        <v>62</v>
      </c>
      <c r="G4" s="6" t="s">
        <v>63</v>
      </c>
      <c r="H4" s="6" t="s">
        <v>2</v>
      </c>
      <c r="I4" s="6" t="s">
        <v>14</v>
      </c>
      <c r="J4" s="6" t="s">
        <v>53</v>
      </c>
      <c r="K4" s="6" t="s">
        <v>17</v>
      </c>
      <c r="L4" s="6" t="s">
        <v>22</v>
      </c>
      <c r="M4" s="6" t="s">
        <v>24</v>
      </c>
      <c r="N4" s="6" t="s">
        <v>23</v>
      </c>
      <c r="O4" s="6" t="s">
        <v>25</v>
      </c>
      <c r="P4" s="6" t="s">
        <v>66</v>
      </c>
    </row>
    <row r="5" spans="1:16" ht="12.75">
      <c r="A5" s="1">
        <v>0</v>
      </c>
      <c r="B5" s="2">
        <v>86348</v>
      </c>
      <c r="C5" s="26">
        <v>5014139</v>
      </c>
      <c r="D5" s="2">
        <v>58.06896</v>
      </c>
      <c r="E5" s="11">
        <v>4.21E-08</v>
      </c>
      <c r="F5" s="11">
        <v>0.0004995</v>
      </c>
      <c r="G5" s="11">
        <v>0.0005014</v>
      </c>
      <c r="H5" s="3">
        <v>0.3201796</v>
      </c>
      <c r="I5" s="3">
        <v>0</v>
      </c>
      <c r="J5" s="3">
        <v>0</v>
      </c>
      <c r="K5" s="29">
        <v>0</v>
      </c>
      <c r="L5" s="3">
        <v>0</v>
      </c>
      <c r="M5" s="3">
        <v>0</v>
      </c>
      <c r="N5" s="3">
        <v>0</v>
      </c>
      <c r="O5" s="29">
        <v>0</v>
      </c>
      <c r="P5" s="3">
        <v>0</v>
      </c>
    </row>
    <row r="6" spans="1:16" ht="12.75">
      <c r="A6" s="1">
        <v>10</v>
      </c>
      <c r="B6" s="2">
        <v>98060</v>
      </c>
      <c r="C6" s="26">
        <v>5014178</v>
      </c>
      <c r="D6" s="2">
        <v>51.13377</v>
      </c>
      <c r="E6" s="11">
        <v>0.0009947</v>
      </c>
      <c r="F6" s="11">
        <v>1909.156</v>
      </c>
      <c r="G6" s="11">
        <v>265.357</v>
      </c>
      <c r="H6" s="3">
        <v>0.2807939</v>
      </c>
      <c r="I6" s="3">
        <v>0.4985738</v>
      </c>
      <c r="J6" s="3">
        <v>0.4671802</v>
      </c>
      <c r="K6" s="29">
        <v>0.0342459</v>
      </c>
      <c r="L6" s="3">
        <v>0.5536592</v>
      </c>
      <c r="M6" s="3">
        <v>0.1267164</v>
      </c>
      <c r="N6" s="3">
        <v>0.2998734</v>
      </c>
      <c r="O6" s="29">
        <v>0.0197497</v>
      </c>
      <c r="P6" s="3">
        <v>0.3096415</v>
      </c>
    </row>
    <row r="7" spans="1:16" ht="12.75">
      <c r="A7" s="1">
        <v>20</v>
      </c>
      <c r="B7" s="2">
        <v>61091</v>
      </c>
      <c r="C7" s="26">
        <v>5014211</v>
      </c>
      <c r="D7" s="2">
        <v>82.07774</v>
      </c>
      <c r="E7" s="11">
        <v>4656</v>
      </c>
      <c r="F7" s="11">
        <v>6399.394</v>
      </c>
      <c r="G7" s="11">
        <v>401.4828</v>
      </c>
      <c r="H7" s="3">
        <v>0.3456683</v>
      </c>
      <c r="I7" s="3">
        <v>0.4384919</v>
      </c>
      <c r="J7" s="3">
        <v>0.527132</v>
      </c>
      <c r="K7" s="29">
        <v>0.0343762</v>
      </c>
      <c r="L7" s="3">
        <v>0.6545361</v>
      </c>
      <c r="M7" s="3">
        <v>0.0908903</v>
      </c>
      <c r="N7" s="3">
        <v>0.2292441</v>
      </c>
      <c r="O7" s="29">
        <v>0.0253285</v>
      </c>
      <c r="P7" s="3">
        <v>0.2359985</v>
      </c>
    </row>
    <row r="8" spans="1:16" ht="12.75">
      <c r="A8" s="1">
        <v>30</v>
      </c>
      <c r="B8" s="2">
        <v>50087</v>
      </c>
      <c r="C8" s="26">
        <v>5016615</v>
      </c>
      <c r="D8" s="2">
        <v>100.158</v>
      </c>
      <c r="E8" s="11">
        <v>8742.5</v>
      </c>
      <c r="F8" s="11">
        <v>9977.029</v>
      </c>
      <c r="G8" s="11">
        <v>427.3324</v>
      </c>
      <c r="H8" s="3">
        <v>0.3960877</v>
      </c>
      <c r="I8" s="3">
        <v>0.4381083</v>
      </c>
      <c r="J8" s="3">
        <v>0.5321702</v>
      </c>
      <c r="K8" s="29">
        <v>0.0297216</v>
      </c>
      <c r="L8" s="3">
        <v>0.6420389</v>
      </c>
      <c r="M8" s="3">
        <v>0.0947689</v>
      </c>
      <c r="N8" s="3">
        <v>0.2395069</v>
      </c>
      <c r="O8" s="29">
        <v>0.0236845</v>
      </c>
      <c r="P8" s="3">
        <v>0.2561766</v>
      </c>
    </row>
    <row r="9" spans="1:16" ht="12.75">
      <c r="A9" s="1">
        <v>40</v>
      </c>
      <c r="B9" s="2">
        <v>46499</v>
      </c>
      <c r="C9" s="26">
        <v>5012374</v>
      </c>
      <c r="D9" s="2">
        <v>107.7953</v>
      </c>
      <c r="E9" s="11">
        <v>12000.5</v>
      </c>
      <c r="F9" s="11">
        <v>12971.49</v>
      </c>
      <c r="G9" s="11">
        <v>411.8305</v>
      </c>
      <c r="H9" s="3">
        <v>0.4645295</v>
      </c>
      <c r="I9" s="3">
        <v>0.5768063</v>
      </c>
      <c r="J9" s="3">
        <v>0.3998284</v>
      </c>
      <c r="K9" s="29">
        <v>0.0233653</v>
      </c>
      <c r="L9" s="3">
        <v>0.6472576</v>
      </c>
      <c r="M9" s="3">
        <v>0.1032066</v>
      </c>
      <c r="N9" s="3">
        <v>0.2263654</v>
      </c>
      <c r="O9" s="29">
        <v>0.0231696</v>
      </c>
      <c r="P9" s="3">
        <v>0.2403317</v>
      </c>
    </row>
    <row r="10" spans="1:16" ht="12.75">
      <c r="A10" s="1">
        <v>50</v>
      </c>
      <c r="B10" s="2">
        <v>45440</v>
      </c>
      <c r="C10" s="26">
        <v>5013190</v>
      </c>
      <c r="D10" s="2">
        <v>110.3255</v>
      </c>
      <c r="E10" s="11">
        <v>14671.5</v>
      </c>
      <c r="F10" s="11">
        <v>15465.11</v>
      </c>
      <c r="G10" s="11">
        <v>429.4774</v>
      </c>
      <c r="H10" s="3">
        <v>0.5361065</v>
      </c>
      <c r="I10" s="3">
        <v>0.651229</v>
      </c>
      <c r="J10" s="3">
        <v>0.328172</v>
      </c>
      <c r="K10" s="29">
        <v>0.020599</v>
      </c>
      <c r="L10" s="3">
        <v>0.6452247</v>
      </c>
      <c r="M10" s="3">
        <v>0.1139592</v>
      </c>
      <c r="N10" s="3">
        <v>0.2180321</v>
      </c>
      <c r="O10" s="29">
        <v>0.0227831</v>
      </c>
      <c r="P10" s="3">
        <v>0.2614644</v>
      </c>
    </row>
    <row r="11" spans="1:16" ht="12.75">
      <c r="A11" s="1">
        <v>60</v>
      </c>
      <c r="B11" s="2">
        <v>48070</v>
      </c>
      <c r="C11" s="26">
        <v>5014355</v>
      </c>
      <c r="D11" s="2">
        <v>104.3136</v>
      </c>
      <c r="E11" s="11">
        <v>17181.5</v>
      </c>
      <c r="F11" s="11">
        <v>18091.39</v>
      </c>
      <c r="G11" s="11">
        <v>562.5184</v>
      </c>
      <c r="H11" s="3">
        <v>0.5767148</v>
      </c>
      <c r="I11" s="3">
        <v>0.6888932</v>
      </c>
      <c r="J11" s="3">
        <v>0.287446</v>
      </c>
      <c r="K11" s="29">
        <v>0.0236608</v>
      </c>
      <c r="L11" s="3">
        <v>0.6421176</v>
      </c>
      <c r="M11" s="3">
        <v>0.1117158</v>
      </c>
      <c r="N11" s="3">
        <v>0.2209317</v>
      </c>
      <c r="O11" s="29">
        <v>0.0252343</v>
      </c>
      <c r="P11" s="3">
        <v>0.3093934</v>
      </c>
    </row>
    <row r="12" spans="1:16" ht="12.75">
      <c r="A12" s="1">
        <v>70</v>
      </c>
      <c r="B12" s="2">
        <v>55635</v>
      </c>
      <c r="C12" s="26">
        <v>5013119</v>
      </c>
      <c r="D12" s="2">
        <v>90.10728</v>
      </c>
      <c r="E12" s="11">
        <v>20253.5</v>
      </c>
      <c r="F12" s="11">
        <v>21436.79</v>
      </c>
      <c r="G12" s="11">
        <v>809.0745</v>
      </c>
      <c r="H12" s="3">
        <v>0.5862792</v>
      </c>
      <c r="I12" s="3">
        <v>0.6943925</v>
      </c>
      <c r="J12" s="3">
        <v>0.2772669</v>
      </c>
      <c r="K12" s="29">
        <v>0.0283406</v>
      </c>
      <c r="L12" s="3">
        <v>0.6461076</v>
      </c>
      <c r="M12" s="3">
        <v>0.1153235</v>
      </c>
      <c r="N12" s="3">
        <v>0.2115573</v>
      </c>
      <c r="O12" s="29">
        <v>0.0270112</v>
      </c>
      <c r="P12" s="3">
        <v>0.3733948</v>
      </c>
    </row>
    <row r="13" spans="1:16" ht="12.75">
      <c r="A13" s="1">
        <v>80</v>
      </c>
      <c r="B13" s="2">
        <v>73114</v>
      </c>
      <c r="C13" s="26">
        <v>5014033</v>
      </c>
      <c r="D13" s="2">
        <v>68.57829</v>
      </c>
      <c r="E13" s="11">
        <v>24596.5</v>
      </c>
      <c r="F13" s="11">
        <v>26826.57</v>
      </c>
      <c r="G13" s="11">
        <v>1363.608</v>
      </c>
      <c r="H13" s="3">
        <v>0.6047478</v>
      </c>
      <c r="I13" s="3">
        <v>0.7050134</v>
      </c>
      <c r="J13" s="3">
        <v>0.2514363</v>
      </c>
      <c r="K13" s="29">
        <v>0.0435503</v>
      </c>
      <c r="L13" s="3">
        <v>0.635942</v>
      </c>
      <c r="M13" s="3">
        <v>0.1091634</v>
      </c>
      <c r="N13" s="3">
        <v>0.2173725</v>
      </c>
      <c r="O13" s="29">
        <v>0.0375219</v>
      </c>
      <c r="P13" s="3">
        <v>0.4675885</v>
      </c>
    </row>
    <row r="14" spans="1:16" ht="12.75">
      <c r="A14" s="1">
        <v>90</v>
      </c>
      <c r="B14" s="2">
        <v>142395</v>
      </c>
      <c r="C14" s="26">
        <v>4512534</v>
      </c>
      <c r="D14" s="2">
        <v>31.69026</v>
      </c>
      <c r="E14" s="11">
        <v>33014</v>
      </c>
      <c r="F14" s="11">
        <v>42580.47</v>
      </c>
      <c r="G14" s="11">
        <v>4202.387</v>
      </c>
      <c r="H14" s="3">
        <v>0.6954663</v>
      </c>
      <c r="I14" s="3">
        <v>0.6760876</v>
      </c>
      <c r="J14" s="3">
        <v>0.2057957</v>
      </c>
      <c r="K14" s="29">
        <v>0.1181167</v>
      </c>
      <c r="L14" s="3">
        <v>0.546967</v>
      </c>
      <c r="M14" s="3">
        <v>0.0820505</v>
      </c>
      <c r="N14" s="3">
        <v>0.2962362</v>
      </c>
      <c r="O14" s="29">
        <v>0.0747463</v>
      </c>
      <c r="P14" s="3">
        <v>0.6307552</v>
      </c>
    </row>
    <row r="15" spans="1:16" ht="12.75">
      <c r="A15" s="1">
        <v>99</v>
      </c>
      <c r="B15" s="2">
        <v>84098</v>
      </c>
      <c r="C15" s="26">
        <v>451258.2</v>
      </c>
      <c r="D15" s="2">
        <v>5.365861</v>
      </c>
      <c r="E15" s="11">
        <v>88717.5</v>
      </c>
      <c r="F15" s="11">
        <v>105414</v>
      </c>
      <c r="G15" s="11">
        <v>25626.27</v>
      </c>
      <c r="H15" s="3">
        <v>0.7920018</v>
      </c>
      <c r="I15" s="3">
        <v>0.5802113</v>
      </c>
      <c r="J15" s="3">
        <v>0.0772134</v>
      </c>
      <c r="K15" s="29">
        <v>0.3425753</v>
      </c>
      <c r="L15" s="3">
        <v>0.339923</v>
      </c>
      <c r="M15" s="3">
        <v>0.0440656</v>
      </c>
      <c r="N15" s="3">
        <v>0.4345078</v>
      </c>
      <c r="O15" s="29">
        <v>0.1815036</v>
      </c>
      <c r="P15" s="3">
        <v>0.8574689</v>
      </c>
    </row>
    <row r="16" spans="1:16" ht="12.75">
      <c r="A16" s="1">
        <v>999</v>
      </c>
      <c r="B16" s="2">
        <v>46396</v>
      </c>
      <c r="C16" s="26">
        <v>50140.07</v>
      </c>
      <c r="D16" s="2">
        <v>1.080698</v>
      </c>
      <c r="E16" s="11">
        <v>271349.5</v>
      </c>
      <c r="F16" s="11">
        <v>316127</v>
      </c>
      <c r="G16" s="41">
        <v>319867</v>
      </c>
      <c r="H16" s="3">
        <v>0.7613795</v>
      </c>
      <c r="I16" s="3">
        <v>0.5030889</v>
      </c>
      <c r="J16" s="3">
        <v>0.0257055</v>
      </c>
      <c r="K16" s="29">
        <v>0.4712057</v>
      </c>
      <c r="L16" s="3">
        <v>0.0743564</v>
      </c>
      <c r="M16" s="3">
        <v>0.0154107</v>
      </c>
      <c r="N16" s="3">
        <v>0.2800767</v>
      </c>
      <c r="O16" s="29">
        <v>0.6301562</v>
      </c>
      <c r="P16" s="3">
        <v>0.9535326</v>
      </c>
    </row>
    <row r="17" spans="1:16" ht="12.75">
      <c r="A17" s="1" t="s">
        <v>55</v>
      </c>
      <c r="B17" s="2">
        <f>SUM(B5:B9)</f>
        <v>342085</v>
      </c>
      <c r="C17" s="39">
        <f>SUM(C5:C9)</f>
        <v>25071517</v>
      </c>
      <c r="D17" s="35">
        <f>C17/B17</f>
        <v>73.29031381089496</v>
      </c>
      <c r="E17" s="11">
        <f>E5</f>
        <v>4.21E-08</v>
      </c>
      <c r="F17" s="37">
        <f>SUMPRODUCT($C5:$C9,F5:F9)/$C17</f>
        <v>6251.302418619482</v>
      </c>
      <c r="G17" s="37">
        <f>SUMPRODUCT($C5:$C9,G5:G9)/$C17</f>
        <v>301.2055407791677</v>
      </c>
      <c r="H17" s="3">
        <f>SUMPRODUCT($C5:$C9,H5:H9)/$C17</f>
        <v>0.36144779323318965</v>
      </c>
      <c r="I17" s="3">
        <f>SUMPRODUCT($B24:$B28,I5:I9)/$B36</f>
        <v>0.49941767383560776</v>
      </c>
      <c r="J17" s="3">
        <f>SUMPRODUCT($B24:$B28,J5:J9)/$B36</f>
        <v>0.4722683198869583</v>
      </c>
      <c r="K17" s="3">
        <f>SUMPRODUCT($B24:$B28,K5:K9)/$B36</f>
        <v>0.02831403659738756</v>
      </c>
      <c r="L17" s="3">
        <f>SUMPRODUCT($C24:$C28,L5:L9)/$C36</f>
        <v>0.631224891618992</v>
      </c>
      <c r="M17" s="3">
        <f>SUMPRODUCT($C24:$C28,M5:M9)/$C36</f>
        <v>0.10167025769233104</v>
      </c>
      <c r="N17" s="3">
        <f>SUMPRODUCT($C24:$C28,N5:N9)/$C36</f>
        <v>0.24381485716450033</v>
      </c>
      <c r="O17" s="3">
        <f>SUMPRODUCT($C24:$C28,O5:O9)/$C36</f>
        <v>0.023288719194640498</v>
      </c>
      <c r="P17" s="3">
        <f>SUMPRODUCT($C5:$C9,P5:P9)/$C17</f>
        <v>0.20843236612029897</v>
      </c>
    </row>
    <row r="18" spans="1:16" ht="12.75">
      <c r="A18" s="1" t="s">
        <v>56</v>
      </c>
      <c r="B18" s="2">
        <f>SUM(B10:B13)</f>
        <v>222259</v>
      </c>
      <c r="C18" s="39">
        <f>SUM(C10:C13)</f>
        <v>20054697</v>
      </c>
      <c r="D18" s="35">
        <f>C18/B18</f>
        <v>90.23120323586447</v>
      </c>
      <c r="E18" s="11">
        <f>E10</f>
        <v>14671.5</v>
      </c>
      <c r="F18" s="37">
        <f>SUMPRODUCT($C10:$C13,F10:F13)/$C18</f>
        <v>20455.092051960197</v>
      </c>
      <c r="G18" s="37">
        <f>SUMPRODUCT($C10:$C13,G10:G13)/$C18</f>
        <v>791.1802914782257</v>
      </c>
      <c r="H18" s="3">
        <f>SUMPRODUCT($C10:$C13,H10:H13)/$C18</f>
        <v>0.5759632922098599</v>
      </c>
      <c r="I18" s="3">
        <f>SUMPRODUCT($B29:$B32,I10:I13)/$B37</f>
        <v>0.6885012458151696</v>
      </c>
      <c r="J18" s="3">
        <f>SUMPRODUCT($B29:$B32,J10:J13)/$B37</f>
        <v>0.28066898715089383</v>
      </c>
      <c r="K18" s="3">
        <f>SUMPRODUCT($B29:$B32,K10:K13)/$B37</f>
        <v>0.03082976703393647</v>
      </c>
      <c r="L18" s="3">
        <f>SUMPRODUCT($C29:$C32,L10:L13)/$C37</f>
        <v>0.6408980454656843</v>
      </c>
      <c r="M18" s="3">
        <f>SUMPRODUCT($C29:$C32,M10:M13)/$C37</f>
        <v>0.11184258818470835</v>
      </c>
      <c r="N18" s="3">
        <f>SUMPRODUCT($C29:$C32,N10:N13)/$C37</f>
        <v>0.21660820969371497</v>
      </c>
      <c r="O18" s="3">
        <f>SUMPRODUCT($C29:$C32,O10:O13)/$C37</f>
        <v>0.030650739436113048</v>
      </c>
      <c r="P18" s="3">
        <f>SUMPRODUCT($C10:$C13,P10:P13)/$C18</f>
        <v>0.3529624902083886</v>
      </c>
    </row>
    <row r="19" spans="1:16" ht="12.75">
      <c r="A19" s="1" t="s">
        <v>57</v>
      </c>
      <c r="B19" s="2">
        <f>SUM(B14:B16)</f>
        <v>272889</v>
      </c>
      <c r="C19" s="39">
        <f>SUM(C14:C16)</f>
        <v>5013932.2700000005</v>
      </c>
      <c r="D19" s="35">
        <f>C19/B19</f>
        <v>18.373522824298526</v>
      </c>
      <c r="E19" s="11">
        <f>E14</f>
        <v>33014</v>
      </c>
      <c r="F19" s="37">
        <f>SUMPRODUCT($C14:$C16,F14:F16)/$C19</f>
        <v>50971.04760345517</v>
      </c>
      <c r="G19" s="37">
        <f>SUMPRODUCT($C14:$C16,G14:G16)/$C19</f>
        <v>9287.248003105155</v>
      </c>
      <c r="H19" s="3">
        <f>SUMPRODUCT($C14:$C16,H14:H16)/$C19</f>
        <v>0.7048137195310626</v>
      </c>
      <c r="I19" s="3">
        <f>SUMPRODUCT($B33:$B35,I14:I16)/$B38</f>
        <v>0.6475122446776352</v>
      </c>
      <c r="J19" s="3">
        <f>SUMPRODUCT($B33:$B35,J14:J16)/$B38</f>
        <v>0.17069287908020783</v>
      </c>
      <c r="K19" s="3">
        <f>SUMPRODUCT($B33:$B35,K14:K16)/$B38</f>
        <v>0.1817948824443388</v>
      </c>
      <c r="L19" s="3">
        <f>SUMPRODUCT($C33:$C35,L14:L16)/$C38</f>
        <v>0.33277315974084926</v>
      </c>
      <c r="M19" s="3">
        <f>SUMPRODUCT($C33:$C35,M14:M16)/$C38</f>
        <v>0.04966525980236341</v>
      </c>
      <c r="N19" s="3">
        <f>SUMPRODUCT($C33:$C35,N14:N16)/$C38</f>
        <v>0.32500877497578995</v>
      </c>
      <c r="O19" s="3">
        <f>SUMPRODUCT($C33:$C35,O14:O16)/$C38</f>
        <v>0.2925528054809974</v>
      </c>
      <c r="P19" s="3">
        <f>SUMPRODUCT($C14:$C16,P14:P16)/$C19</f>
        <v>0.6543874493458328</v>
      </c>
    </row>
    <row r="20" spans="1:16" ht="12.75">
      <c r="A20" s="1" t="s">
        <v>58</v>
      </c>
      <c r="B20" s="2">
        <f>B15+B16</f>
        <v>130494</v>
      </c>
      <c r="C20" s="39">
        <f>C15+C16</f>
        <v>501398.27</v>
      </c>
      <c r="D20" s="35">
        <f>C20/B20</f>
        <v>3.842308995049581</v>
      </c>
      <c r="E20" s="11">
        <f>E15</f>
        <v>88717.5</v>
      </c>
      <c r="F20" s="37">
        <f>SUMPRODUCT($C15:$C16,F15:F16)/$C20</f>
        <v>126485.40212093273</v>
      </c>
      <c r="G20" s="37">
        <f>SUMPRODUCT($C15:$C16,G15:G16)/$C20</f>
        <v>55050.48560220202</v>
      </c>
      <c r="H20" s="40">
        <f>SUMPRODUCT($C15:$C16,H15:H16)/$C20</f>
        <v>0.7889395551590654</v>
      </c>
      <c r="I20" s="3">
        <f>SUMPRODUCT($B34:$B35,I15:I16)/$B39</f>
        <v>0.5609358811021316</v>
      </c>
      <c r="J20" s="3">
        <f>SUMPRODUCT($B34:$B35,J15:J16)/$B39</f>
        <v>0.06433988531361168</v>
      </c>
      <c r="K20" s="3">
        <f>SUMPRODUCT($B34:$B35,K15:K16)/$B39</f>
        <v>0.3747242585775387</v>
      </c>
      <c r="L20" s="3">
        <f>SUMPRODUCT($C34:$C35,L15:L16)/$C39</f>
        <v>0.18561663485319638</v>
      </c>
      <c r="M20" s="3">
        <f>SUMPRODUCT($C34:$C35,M15:M16)/$C39</f>
        <v>0.02741578988590756</v>
      </c>
      <c r="N20" s="3">
        <f>SUMPRODUCT($C34:$C35,N15:N16)/$C39</f>
        <v>0.34477625353812363</v>
      </c>
      <c r="O20" s="3">
        <f>SUMPRODUCT($C34:$C35,O15:O16)/$C39</f>
        <v>0.4421913217227725</v>
      </c>
      <c r="P20" s="40">
        <f>SUMPRODUCT($C15:$C16,P15:P16)/$C20</f>
        <v>0.8670753165567603</v>
      </c>
    </row>
    <row r="21" spans="1:16" ht="30" customHeight="1">
      <c r="A21" s="16" t="s">
        <v>42</v>
      </c>
      <c r="B21" s="17">
        <f>SUM(B5:B16)</f>
        <v>837233</v>
      </c>
      <c r="C21" s="27">
        <f>SUM(C5:C16)</f>
        <v>50140146.27</v>
      </c>
      <c r="D21" s="17">
        <f>C21/B21</f>
        <v>59.887923994873596</v>
      </c>
      <c r="E21" s="14"/>
      <c r="F21" s="38">
        <f>SUMPRODUCT($C5:$C16,F5:F16)/$C21</f>
        <v>16404.333646240866</v>
      </c>
      <c r="G21" s="38">
        <f>SUMPRODUCT($C5:$C16,G5:G16)/$C21</f>
        <v>1395.7716225938043</v>
      </c>
      <c r="H21" s="15">
        <f>SUMPRODUCT($C5:$C16,H5:H16)/$C21</f>
        <v>0.4815841964982988</v>
      </c>
      <c r="I21" s="15">
        <f>SUMPRODUCT($B24:$B35,I5:I16)/$B40</f>
        <v>0.639735770062449</v>
      </c>
      <c r="J21" s="15">
        <f>SUMPRODUCT($B24:$B35,J5:J16)/$B40</f>
        <v>0.28300718882967796</v>
      </c>
      <c r="K21" s="15">
        <f>SUMPRODUCT($B24:$B35,K5:K16)/$B40</f>
        <v>0.07725704881240485</v>
      </c>
      <c r="L21" s="15">
        <f>SUMPRODUCT($C24:$C35,L5:L16)/$C40</f>
        <v>0.4348361040669521</v>
      </c>
      <c r="M21" s="15">
        <f>SUMPRODUCT($C24:$C35,M5:M16)/$C40</f>
        <v>0.06937378682884104</v>
      </c>
      <c r="N21" s="15">
        <f>SUMPRODUCT($C24:$C35,N5:N16)/$C40</f>
        <v>0.29167082774795416</v>
      </c>
      <c r="O21" s="15">
        <f>SUMPRODUCT($C24:$C35,O5:O16)/$C40</f>
        <v>0.20411904925662427</v>
      </c>
      <c r="P21" s="15">
        <f>SUMPRODUCT($C5:$C16,P5:P16)/$C21</f>
        <v>0.3108352670026636</v>
      </c>
    </row>
    <row r="22" spans="1:14" ht="15" customHeight="1">
      <c r="A22" s="16"/>
      <c r="B22" s="17"/>
      <c r="C22" s="27"/>
      <c r="D22" s="17"/>
      <c r="E22" s="14"/>
      <c r="F22" s="14"/>
      <c r="G22" s="14"/>
      <c r="H22" s="15"/>
      <c r="I22" s="15"/>
      <c r="J22" s="15"/>
      <c r="K22" s="28"/>
      <c r="L22" s="28"/>
      <c r="M22" s="28"/>
      <c r="N22" s="28"/>
    </row>
    <row r="23" spans="1:8" ht="12.75">
      <c r="A23" s="6" t="s">
        <v>74</v>
      </c>
      <c r="B23" s="6" t="s">
        <v>62</v>
      </c>
      <c r="C23" s="6" t="s">
        <v>63</v>
      </c>
      <c r="D23" s="6" t="s">
        <v>73</v>
      </c>
      <c r="E23" s="6" t="s">
        <v>62</v>
      </c>
      <c r="F23" s="6" t="s">
        <v>63</v>
      </c>
      <c r="G23" s="6" t="s">
        <v>61</v>
      </c>
      <c r="H23" s="10"/>
    </row>
    <row r="24" spans="1:7" ht="12.75">
      <c r="A24" s="1">
        <v>0</v>
      </c>
      <c r="B24" s="34">
        <f aca="true" t="shared" si="0" ref="B24:B40">$C5*F5/1000000000</f>
        <v>2.5045624305E-06</v>
      </c>
      <c r="C24" s="34">
        <f aca="true" t="shared" si="1" ref="C24:C40">$C5*G5/1000000000</f>
        <v>2.5140892946000006E-06</v>
      </c>
      <c r="D24" s="3">
        <v>0</v>
      </c>
      <c r="E24" s="3">
        <f aca="true" t="shared" si="2" ref="E24:E40">B24/B$40</f>
        <v>3.045002624952975E-09</v>
      </c>
      <c r="F24" s="3">
        <f aca="true" t="shared" si="3" ref="F24:F40">C24/C$40</f>
        <v>3.592367326768887E-08</v>
      </c>
      <c r="G24" s="3">
        <f aca="true" t="shared" si="4" ref="G24:G40">(B24+C24)/(B$40+C$40)</f>
        <v>5.623139932493917E-09</v>
      </c>
    </row>
    <row r="25" spans="1:7" ht="12.75">
      <c r="A25" s="1">
        <v>10</v>
      </c>
      <c r="B25" s="34">
        <f t="shared" si="0"/>
        <v>9.572848013767999</v>
      </c>
      <c r="C25" s="34">
        <f t="shared" si="1"/>
        <v>1.3305472315460003</v>
      </c>
      <c r="D25" s="3">
        <f aca="true" t="shared" si="5" ref="D25:D40">C25/(B25+C25)</f>
        <v>0.12203054201101585</v>
      </c>
      <c r="E25" s="3">
        <f t="shared" si="2"/>
        <v>0.011638498994964233</v>
      </c>
      <c r="F25" s="3">
        <f t="shared" si="3"/>
        <v>0.019012110713788836</v>
      </c>
      <c r="G25" s="3">
        <f t="shared" si="4"/>
        <v>0.012216690968422953</v>
      </c>
    </row>
    <row r="26" spans="1:7" ht="12.75">
      <c r="A26" s="1">
        <v>20</v>
      </c>
      <c r="B26" s="34">
        <f t="shared" si="0"/>
        <v>32.087911788134</v>
      </c>
      <c r="C26" s="34">
        <f t="shared" si="1"/>
        <v>2.0131194720708</v>
      </c>
      <c r="D26" s="3">
        <f t="shared" si="5"/>
        <v>0.05903397632493504</v>
      </c>
      <c r="E26" s="3">
        <f t="shared" si="2"/>
        <v>0.03901191459005539</v>
      </c>
      <c r="F26" s="3">
        <f t="shared" si="3"/>
        <v>0.028765345096861347</v>
      </c>
      <c r="G26" s="3">
        <f t="shared" si="4"/>
        <v>0.038208443446961865</v>
      </c>
    </row>
    <row r="27" spans="1:7" ht="12.75">
      <c r="A27" s="1">
        <v>30</v>
      </c>
      <c r="B27" s="34">
        <f t="shared" si="0"/>
        <v>50.050913336835</v>
      </c>
      <c r="C27" s="34">
        <f t="shared" si="1"/>
        <v>2.143762127826</v>
      </c>
      <c r="D27" s="3">
        <f t="shared" si="5"/>
        <v>0.04107242949096328</v>
      </c>
      <c r="E27" s="3">
        <f t="shared" si="2"/>
        <v>0.060851013588641485</v>
      </c>
      <c r="F27" s="3">
        <f t="shared" si="3"/>
        <v>0.030632090279800312</v>
      </c>
      <c r="G27" s="3">
        <f t="shared" si="4"/>
        <v>0.058481436837111385</v>
      </c>
    </row>
    <row r="28" spans="1:7" ht="12.75">
      <c r="A28" s="1">
        <v>40</v>
      </c>
      <c r="B28" s="34">
        <f t="shared" si="0"/>
        <v>65.01795921726</v>
      </c>
      <c r="C28" s="34">
        <f t="shared" si="1"/>
        <v>2.064248490607</v>
      </c>
      <c r="D28" s="3">
        <f t="shared" si="5"/>
        <v>0.030771922408941787</v>
      </c>
      <c r="E28" s="3">
        <f t="shared" si="2"/>
        <v>0.07904768277072587</v>
      </c>
      <c r="F28" s="3">
        <f t="shared" si="3"/>
        <v>0.02949592461936963</v>
      </c>
      <c r="G28" s="3">
        <f t="shared" si="4"/>
        <v>0.07516214744198889</v>
      </c>
    </row>
    <row r="29" spans="1:7" ht="12.75">
      <c r="A29" s="1">
        <v>50</v>
      </c>
      <c r="B29" s="34">
        <f t="shared" si="0"/>
        <v>77.52953480090001</v>
      </c>
      <c r="C29" s="34">
        <f t="shared" si="1"/>
        <v>2.1530518069060003</v>
      </c>
      <c r="D29" s="3">
        <f t="shared" si="5"/>
        <v>0.027020355369526607</v>
      </c>
      <c r="E29" s="3">
        <f t="shared" si="2"/>
        <v>0.09425903467417023</v>
      </c>
      <c r="F29" s="3">
        <f t="shared" si="3"/>
        <v>0.030764829954858155</v>
      </c>
      <c r="G29" s="3">
        <f t="shared" si="4"/>
        <v>0.08928022090830201</v>
      </c>
    </row>
    <row r="30" spans="1:7" ht="12.75">
      <c r="A30" s="1">
        <v>60</v>
      </c>
      <c r="B30" s="34">
        <f t="shared" si="0"/>
        <v>90.71665190345</v>
      </c>
      <c r="C30" s="34">
        <f t="shared" si="1"/>
        <v>2.8206669516320004</v>
      </c>
      <c r="D30" s="3">
        <f t="shared" si="5"/>
        <v>0.03015552494082152</v>
      </c>
      <c r="E30" s="3">
        <f t="shared" si="2"/>
        <v>0.11029169798646411</v>
      </c>
      <c r="F30" s="3">
        <f t="shared" si="3"/>
        <v>0.04030434328050296</v>
      </c>
      <c r="G30" s="3">
        <f t="shared" si="4"/>
        <v>0.10480373248493297</v>
      </c>
    </row>
    <row r="31" spans="1:7" ht="12.75">
      <c r="A31" s="1">
        <v>70</v>
      </c>
      <c r="B31" s="34">
        <f t="shared" si="0"/>
        <v>107.46517924801</v>
      </c>
      <c r="C31" s="34">
        <f t="shared" si="1"/>
        <v>4.055986748365499</v>
      </c>
      <c r="D31" s="3">
        <f t="shared" si="5"/>
        <v>0.036369658729153896</v>
      </c>
      <c r="E31" s="3">
        <f t="shared" si="2"/>
        <v>0.13065426076678205</v>
      </c>
      <c r="F31" s="3">
        <f t="shared" si="3"/>
        <v>0.05795575480923412</v>
      </c>
      <c r="G31" s="3">
        <f t="shared" si="4"/>
        <v>0.1249537039392799</v>
      </c>
    </row>
    <row r="32" spans="1:7" ht="12.75">
      <c r="A32" s="1">
        <v>80</v>
      </c>
      <c r="B32" s="34">
        <f t="shared" si="0"/>
        <v>134.50930725681</v>
      </c>
      <c r="C32" s="34">
        <f t="shared" si="1"/>
        <v>6.837175511064</v>
      </c>
      <c r="D32" s="3">
        <f t="shared" si="5"/>
        <v>0.048371741391629385</v>
      </c>
      <c r="E32" s="3">
        <f t="shared" si="2"/>
        <v>0.1635340324081383</v>
      </c>
      <c r="F32" s="3">
        <f t="shared" si="3"/>
        <v>0.09769599658248622</v>
      </c>
      <c r="G32" s="3">
        <f t="shared" si="4"/>
        <v>0.15837143023782116</v>
      </c>
    </row>
    <row r="33" spans="1:7" ht="12.75">
      <c r="A33" s="1">
        <v>90</v>
      </c>
      <c r="B33" s="34">
        <f t="shared" si="0"/>
        <v>192.14581861098</v>
      </c>
      <c r="C33" s="34">
        <f t="shared" si="1"/>
        <v>18.963414218658</v>
      </c>
      <c r="D33" s="3">
        <f t="shared" si="5"/>
        <v>0.08982749813676406</v>
      </c>
      <c r="E33" s="3">
        <f t="shared" si="2"/>
        <v>0.23360748165793116</v>
      </c>
      <c r="F33" s="3">
        <f t="shared" si="3"/>
        <v>0.2709671044278887</v>
      </c>
      <c r="G33" s="3">
        <f t="shared" si="4"/>
        <v>0.23653698687745447</v>
      </c>
    </row>
    <row r="34" spans="1:7" ht="12.75">
      <c r="A34" s="1">
        <v>99</v>
      </c>
      <c r="B34" s="34">
        <f t="shared" si="0"/>
        <v>47.5689318948</v>
      </c>
      <c r="C34" s="34">
        <f t="shared" si="1"/>
        <v>11.564064472914</v>
      </c>
      <c r="D34" s="3">
        <f t="shared" si="5"/>
        <v>0.1955602655580609</v>
      </c>
      <c r="E34" s="3">
        <f t="shared" si="2"/>
        <v>0.05783346452935436</v>
      </c>
      <c r="F34" s="3">
        <f t="shared" si="3"/>
        <v>0.16523823344848476</v>
      </c>
      <c r="G34" s="3">
        <f t="shared" si="4"/>
        <v>0.06625546688970228</v>
      </c>
    </row>
    <row r="35" spans="1:7" ht="12.75">
      <c r="A35" s="1">
        <v>999</v>
      </c>
      <c r="B35" s="34">
        <f t="shared" si="0"/>
        <v>15.85062990889</v>
      </c>
      <c r="C35" s="34">
        <f t="shared" si="1"/>
        <v>16.038153770690002</v>
      </c>
      <c r="D35" s="3">
        <f t="shared" si="5"/>
        <v>0.5029402793108112</v>
      </c>
      <c r="E35" s="3">
        <f t="shared" si="2"/>
        <v>0.01927091498777003</v>
      </c>
      <c r="F35" s="3">
        <f t="shared" si="3"/>
        <v>0.22916823086305177</v>
      </c>
      <c r="G35" s="3">
        <f t="shared" si="4"/>
        <v>0.03572973434488196</v>
      </c>
    </row>
    <row r="36" spans="1:7" ht="12.75">
      <c r="A36" s="1" t="s">
        <v>55</v>
      </c>
      <c r="B36" s="36">
        <f t="shared" si="0"/>
        <v>156.72963486055946</v>
      </c>
      <c r="C36" s="36">
        <f t="shared" si="1"/>
        <v>7.551679836139095</v>
      </c>
      <c r="D36" s="3">
        <f t="shared" si="5"/>
        <v>0.04596797785604071</v>
      </c>
      <c r="E36" s="5">
        <f t="shared" si="2"/>
        <v>0.19054911298938965</v>
      </c>
      <c r="F36" s="5">
        <f t="shared" si="3"/>
        <v>0.1079055066334934</v>
      </c>
      <c r="G36" s="5">
        <f t="shared" si="4"/>
        <v>0.18406872431762505</v>
      </c>
    </row>
    <row r="37" spans="1:7" ht="12.75">
      <c r="A37" s="1" t="s">
        <v>56</v>
      </c>
      <c r="B37" s="36">
        <f t="shared" si="0"/>
        <v>410.22067320917</v>
      </c>
      <c r="C37" s="36">
        <f t="shared" si="1"/>
        <v>15.866881017967499</v>
      </c>
      <c r="D37" s="3">
        <f t="shared" si="5"/>
        <v>0.03723854607006247</v>
      </c>
      <c r="E37" s="5">
        <f t="shared" si="2"/>
        <v>0.4987390258355547</v>
      </c>
      <c r="F37" s="5">
        <f t="shared" si="3"/>
        <v>0.22672092462708143</v>
      </c>
      <c r="G37" s="5">
        <f t="shared" si="4"/>
        <v>0.477409087570336</v>
      </c>
    </row>
    <row r="38" spans="1:7" ht="12.75">
      <c r="A38" s="1" t="s">
        <v>57</v>
      </c>
      <c r="B38" s="36">
        <f t="shared" si="0"/>
        <v>255.56538041467005</v>
      </c>
      <c r="C38" s="36">
        <f t="shared" si="1"/>
        <v>46.565632462262</v>
      </c>
      <c r="D38" s="3">
        <f t="shared" si="5"/>
        <v>0.15412397429465383</v>
      </c>
      <c r="E38" s="5">
        <f t="shared" si="2"/>
        <v>0.3107118611750556</v>
      </c>
      <c r="F38" s="5">
        <f t="shared" si="3"/>
        <v>0.6653735687394252</v>
      </c>
      <c r="G38" s="5">
        <f t="shared" si="4"/>
        <v>0.3385221881120388</v>
      </c>
    </row>
    <row r="39" spans="1:7" ht="12.75">
      <c r="A39" s="1" t="s">
        <v>58</v>
      </c>
      <c r="B39" s="36">
        <f t="shared" si="0"/>
        <v>63.41956180369</v>
      </c>
      <c r="C39" s="36">
        <f t="shared" si="1"/>
        <v>27.602218243604</v>
      </c>
      <c r="D39" s="3">
        <f t="shared" si="5"/>
        <v>0.303248499746568</v>
      </c>
      <c r="E39" s="5">
        <f t="shared" si="2"/>
        <v>0.07710437951712439</v>
      </c>
      <c r="F39" s="5">
        <f t="shared" si="3"/>
        <v>0.39440646431153653</v>
      </c>
      <c r="G39" s="5">
        <f t="shared" si="4"/>
        <v>0.10198520123458425</v>
      </c>
    </row>
    <row r="40" spans="1:7" ht="12.75">
      <c r="A40" s="16" t="s">
        <v>42</v>
      </c>
      <c r="B40" s="36">
        <f t="shared" si="0"/>
        <v>822.5156884843996</v>
      </c>
      <c r="C40" s="36">
        <f t="shared" si="1"/>
        <v>69.98419331636859</v>
      </c>
      <c r="D40" s="15">
        <f t="shared" si="5"/>
        <v>0.07841367236392653</v>
      </c>
      <c r="E40" s="28">
        <f t="shared" si="2"/>
        <v>1</v>
      </c>
      <c r="F40" s="28">
        <f t="shared" si="3"/>
        <v>1</v>
      </c>
      <c r="G40" s="28">
        <f t="shared" si="4"/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2" width="8.28125" style="0" customWidth="1"/>
    <col min="3" max="3" width="9.7109375" style="0" customWidth="1"/>
    <col min="4" max="4" width="8.28125" style="0" customWidth="1"/>
    <col min="5" max="10" width="9.7109375" style="0" customWidth="1"/>
    <col min="11" max="13" width="8.28125" style="0" customWidth="1"/>
    <col min="14" max="20" width="6.7109375" style="0" customWidth="1"/>
  </cols>
  <sheetData>
    <row r="1" ht="12.75">
      <c r="A1" s="7" t="s">
        <v>75</v>
      </c>
    </row>
    <row r="2" ht="12.75">
      <c r="A2" s="7" t="s">
        <v>76</v>
      </c>
    </row>
    <row r="3" ht="12.75">
      <c r="A3" s="53"/>
    </row>
    <row r="4" ht="12.75">
      <c r="P4" t="s">
        <v>83</v>
      </c>
    </row>
    <row r="5" spans="1:20" ht="12.75">
      <c r="A5" s="6" t="s">
        <v>77</v>
      </c>
      <c r="B5" s="6" t="s">
        <v>5</v>
      </c>
      <c r="C5" s="6" t="s">
        <v>1</v>
      </c>
      <c r="D5" s="6" t="s">
        <v>6</v>
      </c>
      <c r="E5" s="6" t="s">
        <v>52</v>
      </c>
      <c r="F5" s="6" t="s">
        <v>14</v>
      </c>
      <c r="G5" s="32" t="s">
        <v>84</v>
      </c>
      <c r="H5" s="6" t="s">
        <v>85</v>
      </c>
      <c r="I5" s="6" t="s">
        <v>86</v>
      </c>
      <c r="J5" s="6" t="s">
        <v>87</v>
      </c>
      <c r="K5" s="32" t="s">
        <v>78</v>
      </c>
      <c r="L5" s="32" t="s">
        <v>17</v>
      </c>
      <c r="M5" s="6" t="s">
        <v>79</v>
      </c>
      <c r="N5" s="42" t="s">
        <v>80</v>
      </c>
      <c r="O5" s="43" t="s">
        <v>4</v>
      </c>
      <c r="P5" s="54" t="s">
        <v>81</v>
      </c>
      <c r="Q5" s="32" t="s">
        <v>82</v>
      </c>
      <c r="T5" s="10"/>
    </row>
    <row r="6" spans="1:17" ht="12.75">
      <c r="A6" s="1">
        <v>0</v>
      </c>
      <c r="B6" s="2">
        <v>49596</v>
      </c>
      <c r="C6" s="26">
        <v>2819499</v>
      </c>
      <c r="D6" s="2">
        <v>56.84932</v>
      </c>
      <c r="E6" s="11">
        <v>1</v>
      </c>
      <c r="F6" s="11">
        <v>1362.379</v>
      </c>
      <c r="G6" s="3">
        <v>0.5631064</v>
      </c>
      <c r="H6" s="3">
        <v>0.425645</v>
      </c>
      <c r="I6" s="55">
        <v>32.31897</v>
      </c>
      <c r="J6" s="55">
        <v>2.999386</v>
      </c>
      <c r="K6" s="3">
        <v>0.0576585</v>
      </c>
      <c r="L6" s="3">
        <v>1.111665</v>
      </c>
      <c r="M6" s="3">
        <v>0.1265151</v>
      </c>
      <c r="N6" s="45">
        <v>0.2020879</v>
      </c>
      <c r="O6" s="46">
        <v>0.1087348</v>
      </c>
      <c r="P6" s="47">
        <v>0.6019585</v>
      </c>
      <c r="Q6" s="3">
        <v>0.0081486</v>
      </c>
    </row>
    <row r="7" spans="1:17" ht="12.75">
      <c r="A7" s="1">
        <v>10</v>
      </c>
      <c r="B7" s="2">
        <v>32547</v>
      </c>
      <c r="C7" s="26">
        <v>2819429</v>
      </c>
      <c r="D7" s="2">
        <v>86.6264</v>
      </c>
      <c r="E7" s="11">
        <v>3130</v>
      </c>
      <c r="F7" s="11">
        <v>5194.544</v>
      </c>
      <c r="G7" s="3">
        <v>0.570826</v>
      </c>
      <c r="H7" s="3">
        <v>0.5798452</v>
      </c>
      <c r="I7" s="55">
        <v>31.1709</v>
      </c>
      <c r="J7" s="55">
        <v>7.17055</v>
      </c>
      <c r="K7" s="3">
        <v>0.0293371</v>
      </c>
      <c r="L7" s="3">
        <v>0.1232886</v>
      </c>
      <c r="M7" s="3">
        <v>0.0556665</v>
      </c>
      <c r="N7" s="45">
        <v>0.235382</v>
      </c>
      <c r="O7" s="46">
        <v>0.0468853</v>
      </c>
      <c r="P7" s="47">
        <v>0.3978951</v>
      </c>
      <c r="Q7" s="3">
        <v>0.0062986</v>
      </c>
    </row>
    <row r="8" spans="1:17" ht="12.75">
      <c r="A8" s="1">
        <v>20</v>
      </c>
      <c r="B8" s="2">
        <v>26593</v>
      </c>
      <c r="C8" s="26">
        <v>2820256</v>
      </c>
      <c r="D8" s="2">
        <v>106.0526</v>
      </c>
      <c r="E8" s="11">
        <v>7217</v>
      </c>
      <c r="F8" s="11">
        <v>9144.779</v>
      </c>
      <c r="G8" s="3">
        <v>0.6322529</v>
      </c>
      <c r="H8" s="3">
        <v>0.6946108</v>
      </c>
      <c r="I8" s="55">
        <v>32.73341</v>
      </c>
      <c r="J8" s="55">
        <v>9.410723</v>
      </c>
      <c r="K8" s="3">
        <v>0.0230709</v>
      </c>
      <c r="L8" s="3">
        <v>0.0409932</v>
      </c>
      <c r="M8" s="3">
        <v>0.0380797</v>
      </c>
      <c r="N8" s="45">
        <v>0.2218302</v>
      </c>
      <c r="O8" s="46">
        <v>0.0096393</v>
      </c>
      <c r="P8" s="47">
        <v>0.2622724</v>
      </c>
      <c r="Q8" s="3">
        <v>0.0050216</v>
      </c>
    </row>
    <row r="9" spans="1:17" ht="12.75">
      <c r="A9" s="1">
        <v>30</v>
      </c>
      <c r="B9" s="2">
        <v>23404</v>
      </c>
      <c r="C9" s="26">
        <v>2819416</v>
      </c>
      <c r="D9" s="2">
        <v>120.4673</v>
      </c>
      <c r="E9" s="11">
        <v>11103</v>
      </c>
      <c r="F9" s="11">
        <v>12735.72</v>
      </c>
      <c r="G9" s="3">
        <v>0.7885318</v>
      </c>
      <c r="H9" s="3">
        <v>0.8334596</v>
      </c>
      <c r="I9" s="55">
        <v>35.11731</v>
      </c>
      <c r="J9" s="55">
        <v>9.015952</v>
      </c>
      <c r="K9" s="3">
        <v>0.014402</v>
      </c>
      <c r="L9" s="3">
        <v>0.0171687</v>
      </c>
      <c r="M9" s="3">
        <v>0.0231548</v>
      </c>
      <c r="N9" s="45">
        <v>0.2096689</v>
      </c>
      <c r="O9" s="46">
        <v>0.0015117</v>
      </c>
      <c r="P9" s="47">
        <v>0.144368</v>
      </c>
      <c r="Q9" s="3">
        <v>0.0021371</v>
      </c>
    </row>
    <row r="10" spans="1:17" ht="12.75">
      <c r="A10" s="1">
        <v>40</v>
      </c>
      <c r="B10" s="2">
        <v>20852</v>
      </c>
      <c r="C10" s="26">
        <v>2818759</v>
      </c>
      <c r="D10" s="2">
        <v>135.1793</v>
      </c>
      <c r="E10" s="11">
        <v>14092</v>
      </c>
      <c r="F10" s="11">
        <v>15190</v>
      </c>
      <c r="G10" s="3">
        <v>0.8807381</v>
      </c>
      <c r="H10" s="3">
        <v>0.9146929</v>
      </c>
      <c r="I10" s="55">
        <v>36.46862</v>
      </c>
      <c r="J10" s="55">
        <v>9.486181</v>
      </c>
      <c r="K10" s="3">
        <v>0.0116789</v>
      </c>
      <c r="L10" s="3">
        <v>0.0086267</v>
      </c>
      <c r="M10" s="3">
        <v>0.0174988</v>
      </c>
      <c r="N10" s="45">
        <v>0.2564622</v>
      </c>
      <c r="O10" s="46">
        <v>0.0005083</v>
      </c>
      <c r="P10" s="47">
        <v>0.0735697</v>
      </c>
      <c r="Q10" s="3">
        <v>0.0009919</v>
      </c>
    </row>
    <row r="11" spans="1:17" ht="12.75">
      <c r="A11" s="1">
        <v>50</v>
      </c>
      <c r="B11" s="2">
        <v>21236</v>
      </c>
      <c r="C11" s="26">
        <v>2820462</v>
      </c>
      <c r="D11" s="2">
        <v>132.8151</v>
      </c>
      <c r="E11" s="11">
        <v>16286</v>
      </c>
      <c r="F11" s="11">
        <v>17434.69</v>
      </c>
      <c r="G11" s="3">
        <v>0.9011475</v>
      </c>
      <c r="H11" s="3">
        <v>0.9366687</v>
      </c>
      <c r="I11" s="55">
        <v>37.05677</v>
      </c>
      <c r="J11" s="55">
        <v>10.76823</v>
      </c>
      <c r="K11" s="3">
        <v>0.0114537</v>
      </c>
      <c r="L11" s="3">
        <v>0.0078824</v>
      </c>
      <c r="M11" s="3">
        <v>0.0139362</v>
      </c>
      <c r="N11" s="45">
        <v>0.2879137</v>
      </c>
      <c r="O11" s="46">
        <v>0.0004349</v>
      </c>
      <c r="P11" s="47">
        <v>0.0539496</v>
      </c>
      <c r="Q11" s="3">
        <v>0.0009293</v>
      </c>
    </row>
    <row r="12" spans="1:17" ht="12.75">
      <c r="A12" s="1">
        <v>60</v>
      </c>
      <c r="B12" s="2">
        <v>22273</v>
      </c>
      <c r="C12" s="26">
        <v>2819119</v>
      </c>
      <c r="D12" s="2">
        <v>126.5712</v>
      </c>
      <c r="E12" s="11">
        <v>18641</v>
      </c>
      <c r="F12" s="11">
        <v>19974.73</v>
      </c>
      <c r="G12" s="3">
        <v>0.9181314</v>
      </c>
      <c r="H12" s="3">
        <v>0.9477784</v>
      </c>
      <c r="I12" s="55">
        <v>37.66227</v>
      </c>
      <c r="J12" s="55">
        <v>11.65903</v>
      </c>
      <c r="K12" s="3">
        <v>0.0112982</v>
      </c>
      <c r="L12" s="3">
        <v>0.0068515</v>
      </c>
      <c r="M12" s="3">
        <v>0.0136427</v>
      </c>
      <c r="N12" s="45">
        <v>0.3401096</v>
      </c>
      <c r="O12" s="46">
        <v>9.91E-05</v>
      </c>
      <c r="P12" s="47">
        <v>0.0454157</v>
      </c>
      <c r="Q12" s="3">
        <v>0.0012496</v>
      </c>
    </row>
    <row r="13" spans="1:17" ht="12.75">
      <c r="A13" s="1">
        <v>70</v>
      </c>
      <c r="B13" s="2">
        <v>26996</v>
      </c>
      <c r="C13" s="26">
        <v>2818890</v>
      </c>
      <c r="D13" s="2">
        <v>104.4188</v>
      </c>
      <c r="E13" s="11">
        <v>21435</v>
      </c>
      <c r="F13" s="11">
        <v>23342.61</v>
      </c>
      <c r="G13" s="3">
        <v>0.9318885</v>
      </c>
      <c r="H13" s="3">
        <v>0.961747</v>
      </c>
      <c r="I13" s="55">
        <v>38.26463</v>
      </c>
      <c r="J13" s="55">
        <v>14.31706</v>
      </c>
      <c r="K13" s="3">
        <v>0.0153507</v>
      </c>
      <c r="L13" s="3">
        <v>0.0076392</v>
      </c>
      <c r="M13" s="3">
        <v>0.0191617</v>
      </c>
      <c r="N13" s="45">
        <v>0.3743649</v>
      </c>
      <c r="O13" s="46">
        <v>5.32E-06</v>
      </c>
      <c r="P13" s="47">
        <v>0.0376912</v>
      </c>
      <c r="Q13" s="3">
        <v>0.0010941</v>
      </c>
    </row>
    <row r="14" spans="1:17" ht="12.75">
      <c r="A14" s="1">
        <v>80</v>
      </c>
      <c r="B14" s="2">
        <v>36353</v>
      </c>
      <c r="C14" s="26">
        <v>2819142</v>
      </c>
      <c r="D14" s="2">
        <v>77.5491</v>
      </c>
      <c r="E14" s="11">
        <v>25538</v>
      </c>
      <c r="F14" s="11">
        <v>28832.59</v>
      </c>
      <c r="G14" s="3">
        <v>0.9444578</v>
      </c>
      <c r="H14" s="3">
        <v>0.966283</v>
      </c>
      <c r="I14" s="55">
        <v>39.3394</v>
      </c>
      <c r="J14" s="55">
        <v>16.06424</v>
      </c>
      <c r="K14" s="3">
        <v>0.0173199</v>
      </c>
      <c r="L14" s="3">
        <v>0.0080022</v>
      </c>
      <c r="M14" s="3">
        <v>0.0265072</v>
      </c>
      <c r="N14" s="45">
        <v>0.4128445</v>
      </c>
      <c r="O14" s="46">
        <v>3.55E-06</v>
      </c>
      <c r="P14" s="47">
        <v>0.0337111</v>
      </c>
      <c r="Q14" s="3">
        <v>0.0008133</v>
      </c>
    </row>
    <row r="15" spans="1:17" ht="12.75">
      <c r="A15" s="1">
        <v>90</v>
      </c>
      <c r="B15" s="2">
        <v>74875</v>
      </c>
      <c r="C15" s="26">
        <v>2537382</v>
      </c>
      <c r="D15" s="2">
        <v>33.88824</v>
      </c>
      <c r="E15" s="11">
        <v>33162</v>
      </c>
      <c r="F15" s="11">
        <v>44980.92</v>
      </c>
      <c r="G15" s="3">
        <v>0.9645585</v>
      </c>
      <c r="H15" s="3">
        <v>0.9616829</v>
      </c>
      <c r="I15" s="55">
        <v>43.89255</v>
      </c>
      <c r="J15" s="55">
        <v>22.72355</v>
      </c>
      <c r="K15" s="3">
        <v>0.0297684</v>
      </c>
      <c r="L15" s="3">
        <v>0.0134507</v>
      </c>
      <c r="M15" s="3">
        <v>0.0667254</v>
      </c>
      <c r="N15" s="45">
        <v>0.3355848</v>
      </c>
      <c r="O15" s="46">
        <v>8.03E-05</v>
      </c>
      <c r="P15" s="47">
        <v>0.0409519</v>
      </c>
      <c r="Q15" s="3">
        <v>0.0045115</v>
      </c>
    </row>
    <row r="16" spans="1:17" ht="12.75">
      <c r="A16" s="1">
        <v>99</v>
      </c>
      <c r="B16" s="2">
        <v>28696</v>
      </c>
      <c r="C16" s="26">
        <v>253797.7</v>
      </c>
      <c r="D16" s="2">
        <v>8.844357</v>
      </c>
      <c r="E16" s="11">
        <v>78439</v>
      </c>
      <c r="F16" s="11">
        <v>105787.8</v>
      </c>
      <c r="G16" s="3">
        <v>0.9540757</v>
      </c>
      <c r="H16" s="3">
        <v>0.9688572</v>
      </c>
      <c r="I16" s="55">
        <v>50.10207</v>
      </c>
      <c r="J16" s="55">
        <v>44.85286</v>
      </c>
      <c r="K16" s="3">
        <v>0.065263</v>
      </c>
      <c r="L16" s="3">
        <v>0.0206081</v>
      </c>
      <c r="M16" s="3">
        <v>0.2488029</v>
      </c>
      <c r="N16" s="45">
        <v>0.268145</v>
      </c>
      <c r="O16" s="46">
        <v>0</v>
      </c>
      <c r="P16" s="47">
        <v>0.0342778</v>
      </c>
      <c r="Q16" s="3">
        <v>0.0102218</v>
      </c>
    </row>
    <row r="17" spans="1:17" ht="12.75">
      <c r="A17" s="1">
        <v>999</v>
      </c>
      <c r="B17" s="2">
        <v>21028</v>
      </c>
      <c r="C17" s="26">
        <v>28138.07</v>
      </c>
      <c r="D17" s="2">
        <v>1.338124</v>
      </c>
      <c r="E17" s="11">
        <v>187499</v>
      </c>
      <c r="F17" s="11">
        <v>342597.3</v>
      </c>
      <c r="G17" s="3">
        <v>0.9174001</v>
      </c>
      <c r="H17" s="3">
        <v>0.9648141</v>
      </c>
      <c r="I17" s="55">
        <v>52.71106</v>
      </c>
      <c r="J17" s="55">
        <v>137.989</v>
      </c>
      <c r="K17" s="3">
        <v>0.0896845</v>
      </c>
      <c r="L17" s="3">
        <v>0.0168567</v>
      </c>
      <c r="M17" s="3">
        <v>0.3958631</v>
      </c>
      <c r="N17" s="45">
        <v>0.1678412</v>
      </c>
      <c r="O17" s="46">
        <v>0</v>
      </c>
      <c r="P17" s="47">
        <v>0.0341637</v>
      </c>
      <c r="Q17" s="3">
        <v>0.0003045</v>
      </c>
    </row>
    <row r="18" spans="1:17" ht="12.75">
      <c r="A18" s="1" t="s">
        <v>55</v>
      </c>
      <c r="B18" s="2">
        <f>SUM(B6:B10)</f>
        <v>152992</v>
      </c>
      <c r="C18" s="39">
        <f>SUM(C6:C10)</f>
        <v>14097359</v>
      </c>
      <c r="D18" s="35">
        <f>C18/B18</f>
        <v>92.14441931604267</v>
      </c>
      <c r="E18" s="11">
        <f>E6</f>
        <v>1</v>
      </c>
      <c r="F18" s="37">
        <f aca="true" t="shared" si="0" ref="F18:K18">SUMPRODUCT($C6:$C10,F6:F10)/$C18</f>
        <v>8725.161501274175</v>
      </c>
      <c r="G18" s="5">
        <f t="shared" si="0"/>
        <v>0.6870779104253996</v>
      </c>
      <c r="H18" s="5">
        <f t="shared" si="0"/>
        <v>0.6896388519520076</v>
      </c>
      <c r="I18" s="56">
        <f t="shared" si="0"/>
        <v>33.561647646103786</v>
      </c>
      <c r="J18" s="56">
        <f t="shared" si="0"/>
        <v>7.6165505781659535</v>
      </c>
      <c r="K18" s="5">
        <f t="shared" si="0"/>
        <v>0.027230138033294035</v>
      </c>
      <c r="L18" s="5">
        <f>SUMPRODUCT($B25:$B29,L6:L10)/$B37</f>
        <v>0.06600629434400972</v>
      </c>
      <c r="M18" s="3">
        <f>SUMPRODUCT($C6:$C10,M6:M10)/$C18</f>
        <v>0.05218419693735543</v>
      </c>
      <c r="N18" s="3">
        <f>SUMPRODUCT($C6:$C10,N6:N10)/$C18</f>
        <v>0.225084457815361</v>
      </c>
      <c r="O18" s="3">
        <f>SUMPRODUCT($C6:$C10,O6:O10)/$C18</f>
        <v>0.033456451977040516</v>
      </c>
      <c r="P18" s="3">
        <f>SUMPRODUCT($C6:$C10,P6:P10)/$C18</f>
        <v>0.2960229916478753</v>
      </c>
      <c r="Q18" s="3">
        <f>SUMPRODUCT($C6:$C10,Q6:Q10)/$C18</f>
        <v>0.004519777326100584</v>
      </c>
    </row>
    <row r="19" spans="1:17" ht="12.75">
      <c r="A19" s="1" t="s">
        <v>56</v>
      </c>
      <c r="B19" s="2">
        <f>SUM(B11:B14)</f>
        <v>106858</v>
      </c>
      <c r="C19" s="39">
        <f>SUM(C11:C14)</f>
        <v>11277613</v>
      </c>
      <c r="D19" s="35">
        <f>C19/B19</f>
        <v>105.53831252690486</v>
      </c>
      <c r="E19" s="11">
        <f>E11</f>
        <v>16286</v>
      </c>
      <c r="F19" s="37">
        <f aca="true" t="shared" si="1" ref="F19:K19">SUMPRODUCT($C11:$C14,F11:F14)/$C19</f>
        <v>22395.558069808743</v>
      </c>
      <c r="G19" s="5">
        <f t="shared" si="1"/>
        <v>0.9239034695865339</v>
      </c>
      <c r="H19" s="5">
        <f t="shared" si="1"/>
        <v>0.953117167629799</v>
      </c>
      <c r="I19" s="56">
        <f t="shared" si="1"/>
        <v>38.08064439020651</v>
      </c>
      <c r="J19" s="56">
        <f t="shared" si="1"/>
        <v>13.201833354479355</v>
      </c>
      <c r="K19" s="5">
        <f t="shared" si="1"/>
        <v>0.013855315672208294</v>
      </c>
      <c r="L19" s="5">
        <f>SUMPRODUCT($B30:$B33,L11:L14)/$B38</f>
        <v>0.007627751978736447</v>
      </c>
      <c r="M19" s="3">
        <f>SUMPRODUCT($C11:$C14,M11:M14)/$C19</f>
        <v>0.018311428370622402</v>
      </c>
      <c r="N19" s="3">
        <f>SUMPRODUCT($C11:$C14,N11:N14)/$C19</f>
        <v>0.35380003090652246</v>
      </c>
      <c r="O19" s="3">
        <f>SUMPRODUCT($C11:$C14,O11:O14)/$C19</f>
        <v>0.0001357555065597658</v>
      </c>
      <c r="P19" s="3">
        <f>SUMPRODUCT($C11:$C14,P11:P14)/$C19</f>
        <v>0.042693323855651014</v>
      </c>
      <c r="Q19" s="3">
        <f>SUMPRODUCT($C11:$C14,Q11:Q14)/$C19</f>
        <v>0.0010215621139508867</v>
      </c>
    </row>
    <row r="20" spans="1:17" ht="12.75">
      <c r="A20" s="1" t="s">
        <v>57</v>
      </c>
      <c r="B20" s="2">
        <f>SUM(B15:B17)</f>
        <v>124599</v>
      </c>
      <c r="C20" s="39">
        <f>SUM(C15:C17)</f>
        <v>2819317.77</v>
      </c>
      <c r="D20" s="35">
        <f>C20/B20</f>
        <v>22.6271299930176</v>
      </c>
      <c r="E20" s="11">
        <f>E15</f>
        <v>33162</v>
      </c>
      <c r="F20" s="37">
        <f aca="true" t="shared" si="2" ref="F20:K20">SUMPRODUCT($C15:$C17,F15:F17)/$C20</f>
        <v>53425.160331859646</v>
      </c>
      <c r="G20" s="5">
        <f t="shared" si="2"/>
        <v>0.9631441660315917</v>
      </c>
      <c r="H20" s="5">
        <f t="shared" si="2"/>
        <v>0.9623599881892798</v>
      </c>
      <c r="I20" s="56">
        <f t="shared" si="2"/>
        <v>44.53954969800839</v>
      </c>
      <c r="J20" s="56">
        <f t="shared" si="2"/>
        <v>25.86605325931458</v>
      </c>
      <c r="K20" s="5">
        <f t="shared" si="2"/>
        <v>0.03356164791697638</v>
      </c>
      <c r="L20" s="5">
        <f>SUMPRODUCT($B34:$B36,L15:L17)/$B39</f>
        <v>0.014944506126118267</v>
      </c>
      <c r="M20" s="3">
        <f>SUMPRODUCT($C15:$C17,M15:M17)/$C20</f>
        <v>0.08640113536912408</v>
      </c>
      <c r="N20" s="3">
        <f>SUMPRODUCT($C15:$C17,N15:N17)/$C20</f>
        <v>0.3278396470698598</v>
      </c>
      <c r="O20" s="3">
        <f>SUMPRODUCT($C15:$C17,O15:O17)/$C20</f>
        <v>7.226988627110309E-05</v>
      </c>
      <c r="P20" s="3">
        <f>SUMPRODUCT($C15:$C17,P15:P17)/$C20</f>
        <v>0.040283341777723414</v>
      </c>
      <c r="Q20" s="3">
        <f>SUMPRODUCT($C15:$C17,Q15:Q17)/$C20</f>
        <v>0.004983558935669391</v>
      </c>
    </row>
    <row r="21" spans="1:17" ht="12.75">
      <c r="A21" s="1" t="s">
        <v>58</v>
      </c>
      <c r="B21" s="2">
        <f>B16+B17</f>
        <v>49724</v>
      </c>
      <c r="C21" s="39">
        <f>C16+C17</f>
        <v>281935.77</v>
      </c>
      <c r="D21" s="35">
        <f>C21/B21</f>
        <v>5.6700138765988255</v>
      </c>
      <c r="E21" s="11">
        <f>E16</f>
        <v>78439</v>
      </c>
      <c r="F21" s="37">
        <f aca="true" t="shared" si="3" ref="F21:K21">SUMPRODUCT($C16:$C17,F16:F17)/$C21</f>
        <v>129422.1273777038</v>
      </c>
      <c r="G21" s="5">
        <f t="shared" si="3"/>
        <v>0.9504153606252126</v>
      </c>
      <c r="H21" s="5">
        <f t="shared" si="3"/>
        <v>0.9684536859981512</v>
      </c>
      <c r="I21" s="56">
        <f t="shared" si="3"/>
        <v>50.36245534680896</v>
      </c>
      <c r="J21" s="56">
        <f t="shared" si="3"/>
        <v>54.1481375266856</v>
      </c>
      <c r="K21" s="5">
        <f t="shared" si="3"/>
        <v>0.06770034193963753</v>
      </c>
      <c r="L21" s="5">
        <f>SUMPRODUCT($B35:$B36,L16:L17)/$B40</f>
        <v>0.019617010438667086</v>
      </c>
      <c r="M21" s="40">
        <f>SUMPRODUCT($C16:$C17,M16:M17)/$C21</f>
        <v>0.26347996705613835</v>
      </c>
      <c r="N21" s="40">
        <f>SUMPRODUCT($C16:$C17,N16:N17)/$C21</f>
        <v>0.25813436762913766</v>
      </c>
      <c r="O21" s="40">
        <f>SUMPRODUCT($C16:$C17,O16:O17)/$C21</f>
        <v>0</v>
      </c>
      <c r="P21" s="40">
        <f>SUMPRODUCT($C16:$C17,P16:P17)/$C21</f>
        <v>0.03426641246379982</v>
      </c>
      <c r="Q21" s="40">
        <f>SUMPRODUCT($C16:$C17,Q16:Q17)/$C21</f>
        <v>0.009232022499929684</v>
      </c>
    </row>
    <row r="22" spans="1:17" ht="30" customHeight="1">
      <c r="A22" s="16" t="s">
        <v>42</v>
      </c>
      <c r="B22" s="17">
        <f>SUM(B6:B17)</f>
        <v>384449</v>
      </c>
      <c r="C22" s="27">
        <f>SUM(C6:C17)</f>
        <v>28194289.77</v>
      </c>
      <c r="D22" s="17">
        <f>C22/B22</f>
        <v>73.33687893582764</v>
      </c>
      <c r="E22" s="14"/>
      <c r="F22" s="38">
        <f aca="true" t="shared" si="4" ref="F22:K22">SUMPRODUCT($C6:$C17,F6:F17)/$C22</f>
        <v>18663.093804738248</v>
      </c>
      <c r="G22" s="28">
        <f t="shared" si="4"/>
        <v>0.8094128063561999</v>
      </c>
      <c r="H22" s="28">
        <f t="shared" si="4"/>
        <v>0.8223002544652973</v>
      </c>
      <c r="I22" s="57">
        <f t="shared" si="4"/>
        <v>36.46697675454136</v>
      </c>
      <c r="J22" s="57">
        <f t="shared" si="4"/>
        <v>11.675521589069804</v>
      </c>
      <c r="K22" s="28">
        <f t="shared" si="4"/>
        <v>0.02251338392134695</v>
      </c>
      <c r="L22" s="28">
        <f>SUMPRODUCT($B25:$B36,L6:L17)/$B41</f>
        <v>0.02336862061485226</v>
      </c>
      <c r="M22" s="15">
        <f>SUMPRODUCT($C6:$C17,M6:M17)/$C22</f>
        <v>0.04205677202586427</v>
      </c>
      <c r="N22" s="15">
        <f>SUMPRODUCT($C6:$C17,N6:N17)/$C22</f>
        <v>0.2868453308724678</v>
      </c>
      <c r="O22" s="15">
        <f>SUMPRODUCT($C6:$C17,O6:O17)/$C22</f>
        <v>0.01679000847648591</v>
      </c>
      <c r="P22" s="15">
        <f>SUMPRODUCT($C6:$C17,P6:P17)/$C22</f>
        <v>0.16911909290314137</v>
      </c>
      <c r="Q22" s="15">
        <f>SUMPRODUCT($C6:$C17,Q6:Q17)/$C22</f>
        <v>0.0031668803412413468</v>
      </c>
    </row>
    <row r="23" spans="1:15" ht="15" customHeight="1">
      <c r="A23" s="16"/>
      <c r="B23" s="33" t="s">
        <v>54</v>
      </c>
      <c r="C23" t="s">
        <v>70</v>
      </c>
      <c r="F23" s="15"/>
      <c r="G23" s="15"/>
      <c r="H23" s="15"/>
      <c r="I23" s="15"/>
      <c r="J23" s="15"/>
      <c r="K23" s="15"/>
      <c r="L23" s="15"/>
      <c r="M23" s="15"/>
      <c r="N23" s="28"/>
      <c r="O23" s="28"/>
    </row>
    <row r="24" spans="1:3" ht="12.75">
      <c r="A24" s="6" t="s">
        <v>77</v>
      </c>
      <c r="B24" s="6" t="s">
        <v>14</v>
      </c>
      <c r="C24" s="6" t="s">
        <v>14</v>
      </c>
    </row>
    <row r="25" spans="1:10" ht="12.75">
      <c r="A25" s="1">
        <v>0</v>
      </c>
      <c r="B25" s="34">
        <f aca="true" t="shared" si="5" ref="B25:B41">$C6*F6/1000000000</f>
        <v>3.8412262281209997</v>
      </c>
      <c r="C25" s="3">
        <f aca="true" t="shared" si="6" ref="C25:C41">B25/B$41</f>
        <v>0.007300037443607499</v>
      </c>
      <c r="F25" s="52"/>
      <c r="G25" s="52"/>
      <c r="H25" s="52"/>
      <c r="I25" s="52"/>
      <c r="J25" s="52"/>
    </row>
    <row r="26" spans="1:3" ht="12.75">
      <c r="A26" s="1">
        <v>10</v>
      </c>
      <c r="B26" s="34">
        <f t="shared" si="5"/>
        <v>14.645647995375999</v>
      </c>
      <c r="C26" s="3">
        <f t="shared" si="6"/>
        <v>0.027833241887562185</v>
      </c>
    </row>
    <row r="27" spans="1:3" ht="12.75">
      <c r="A27" s="1">
        <v>20</v>
      </c>
      <c r="B27" s="34">
        <f t="shared" si="5"/>
        <v>25.790617843424</v>
      </c>
      <c r="C27" s="3">
        <f t="shared" si="6"/>
        <v>0.04901363907505743</v>
      </c>
    </row>
    <row r="28" spans="1:3" ht="12.75">
      <c r="A28" s="1">
        <v>30</v>
      </c>
      <c r="B28" s="34">
        <f t="shared" si="5"/>
        <v>35.907292739519995</v>
      </c>
      <c r="C28" s="3">
        <f t="shared" si="6"/>
        <v>0.06823981872718138</v>
      </c>
    </row>
    <row r="29" spans="1:3" ht="12.75">
      <c r="A29" s="1">
        <v>40</v>
      </c>
      <c r="B29" s="34">
        <f t="shared" si="5"/>
        <v>42.81694921</v>
      </c>
      <c r="C29" s="3">
        <f t="shared" si="6"/>
        <v>0.08137123769638975</v>
      </c>
    </row>
    <row r="30" spans="1:3" ht="12.75">
      <c r="A30" s="1">
        <v>50</v>
      </c>
      <c r="B30" s="34">
        <f t="shared" si="5"/>
        <v>49.17388062678</v>
      </c>
      <c r="C30" s="3">
        <f t="shared" si="6"/>
        <v>0.09345223335064443</v>
      </c>
    </row>
    <row r="31" spans="1:3" ht="12.75">
      <c r="A31" s="1">
        <v>60</v>
      </c>
      <c r="B31" s="34">
        <f t="shared" si="5"/>
        <v>56.31114086287</v>
      </c>
      <c r="C31" s="3">
        <f t="shared" si="6"/>
        <v>0.10701620065535447</v>
      </c>
    </row>
    <row r="32" spans="1:3" ht="12.75">
      <c r="A32" s="1">
        <v>70</v>
      </c>
      <c r="B32" s="34">
        <f t="shared" si="5"/>
        <v>65.8002499029</v>
      </c>
      <c r="C32" s="3">
        <f t="shared" si="6"/>
        <v>0.1250497261976859</v>
      </c>
    </row>
    <row r="33" spans="1:3" ht="12.75">
      <c r="A33" s="1">
        <v>80</v>
      </c>
      <c r="B33" s="34">
        <f t="shared" si="5"/>
        <v>81.28316543778</v>
      </c>
      <c r="C33" s="3">
        <f t="shared" si="6"/>
        <v>0.1544741486160772</v>
      </c>
    </row>
    <row r="34" spans="1:3" ht="12.75">
      <c r="A34" s="1">
        <v>90</v>
      </c>
      <c r="B34" s="34">
        <f t="shared" si="5"/>
        <v>114.13377675144</v>
      </c>
      <c r="C34" s="3">
        <f t="shared" si="6"/>
        <v>0.21690491379192095</v>
      </c>
    </row>
    <row r="35" spans="1:3" ht="12.75">
      <c r="A35" s="1">
        <v>99</v>
      </c>
      <c r="B35" s="34">
        <f t="shared" si="5"/>
        <v>26.84870032806</v>
      </c>
      <c r="C35" s="3">
        <f t="shared" si="6"/>
        <v>0.05102446616452214</v>
      </c>
    </row>
    <row r="36" spans="1:3" ht="12.75">
      <c r="A36" s="1">
        <v>999</v>
      </c>
      <c r="B36" s="34">
        <f t="shared" si="5"/>
        <v>9.640026809211001</v>
      </c>
      <c r="C36" s="3">
        <f t="shared" si="6"/>
        <v>0.01832033639399686</v>
      </c>
    </row>
    <row r="37" spans="1:3" ht="12.75">
      <c r="A37" s="1" t="s">
        <v>55</v>
      </c>
      <c r="B37" s="36">
        <f t="shared" si="5"/>
        <v>123.00173401644099</v>
      </c>
      <c r="C37" s="5">
        <f t="shared" si="6"/>
        <v>0.23375797482979824</v>
      </c>
    </row>
    <row r="38" spans="1:3" ht="12.75">
      <c r="A38" s="1" t="s">
        <v>56</v>
      </c>
      <c r="B38" s="36">
        <f t="shared" si="5"/>
        <v>252.56843683033</v>
      </c>
      <c r="C38" s="5">
        <f t="shared" si="6"/>
        <v>0.479992308819762</v>
      </c>
    </row>
    <row r="39" spans="1:3" ht="12.75">
      <c r="A39" s="1" t="s">
        <v>57</v>
      </c>
      <c r="B39" s="36">
        <f t="shared" si="5"/>
        <v>150.622503888711</v>
      </c>
      <c r="C39" s="5">
        <f t="shared" si="6"/>
        <v>0.28624971635043994</v>
      </c>
    </row>
    <row r="40" spans="1:3" ht="12.75">
      <c r="A40" s="1" t="s">
        <v>58</v>
      </c>
      <c r="B40" s="36">
        <f t="shared" si="5"/>
        <v>36.488727137271006</v>
      </c>
      <c r="C40" s="5">
        <f t="shared" si="6"/>
        <v>0.069344802558519</v>
      </c>
    </row>
    <row r="41" spans="1:3" ht="12.75">
      <c r="A41" s="16" t="s">
        <v>42</v>
      </c>
      <c r="B41" s="36">
        <f t="shared" si="5"/>
        <v>526.1926747354819</v>
      </c>
      <c r="C41" s="28">
        <f t="shared" si="6"/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2" width="8.28125" style="0" customWidth="1"/>
    <col min="3" max="3" width="9.7109375" style="0" customWidth="1"/>
    <col min="4" max="4" width="8.28125" style="0" customWidth="1"/>
    <col min="5" max="8" width="9.7109375" style="0" customWidth="1"/>
    <col min="9" max="9" width="6.7109375" style="0" customWidth="1"/>
  </cols>
  <sheetData>
    <row r="1" ht="12.75">
      <c r="A1" s="7" t="s">
        <v>75</v>
      </c>
    </row>
    <row r="2" ht="12.75">
      <c r="A2" s="7" t="s">
        <v>76</v>
      </c>
    </row>
    <row r="3" ht="12.75">
      <c r="A3" s="53" t="s">
        <v>89</v>
      </c>
    </row>
    <row r="5" spans="1:9" ht="12.75">
      <c r="A5" s="6" t="s">
        <v>77</v>
      </c>
      <c r="B5" s="6" t="s">
        <v>5</v>
      </c>
      <c r="C5" s="6" t="s">
        <v>1</v>
      </c>
      <c r="D5" s="6" t="s">
        <v>6</v>
      </c>
      <c r="E5" s="6" t="s">
        <v>52</v>
      </c>
      <c r="F5" s="6" t="s">
        <v>14</v>
      </c>
      <c r="G5" s="32" t="s">
        <v>88</v>
      </c>
      <c r="H5" s="6" t="s">
        <v>80</v>
      </c>
      <c r="I5" s="10"/>
    </row>
    <row r="6" spans="1:8" ht="12.75">
      <c r="A6" s="1">
        <v>0</v>
      </c>
      <c r="B6" s="2">
        <v>49596</v>
      </c>
      <c r="C6" s="26">
        <v>2819499</v>
      </c>
      <c r="D6" s="2">
        <v>56.84932</v>
      </c>
      <c r="E6" s="11">
        <v>1</v>
      </c>
      <c r="F6" s="11">
        <v>1362.379</v>
      </c>
      <c r="G6" s="3">
        <v>0.9691285</v>
      </c>
      <c r="H6" s="3">
        <v>0.2273877</v>
      </c>
    </row>
    <row r="7" spans="1:8" ht="12.75">
      <c r="A7" s="1">
        <v>10</v>
      </c>
      <c r="B7" s="2">
        <v>32547</v>
      </c>
      <c r="C7" s="26">
        <v>2819429</v>
      </c>
      <c r="D7" s="2">
        <v>86.6264</v>
      </c>
      <c r="E7" s="11">
        <v>3130</v>
      </c>
      <c r="F7" s="11">
        <v>5194.544</v>
      </c>
      <c r="G7" s="3">
        <v>0.9842486</v>
      </c>
      <c r="H7" s="3">
        <v>0.2230326</v>
      </c>
    </row>
    <row r="8" spans="1:8" ht="12.75">
      <c r="A8" s="1">
        <v>20</v>
      </c>
      <c r="B8" s="2">
        <v>26593</v>
      </c>
      <c r="C8" s="26">
        <v>2820256</v>
      </c>
      <c r="D8" s="2">
        <v>106.0526</v>
      </c>
      <c r="E8" s="11">
        <v>7217</v>
      </c>
      <c r="F8" s="11">
        <v>9144.779</v>
      </c>
      <c r="G8" s="3">
        <v>0.7409697</v>
      </c>
      <c r="H8" s="3">
        <v>0.2130049</v>
      </c>
    </row>
    <row r="9" spans="1:8" ht="12.75">
      <c r="A9" s="1">
        <v>30</v>
      </c>
      <c r="B9" s="2">
        <v>23404</v>
      </c>
      <c r="C9" s="26">
        <v>2819416</v>
      </c>
      <c r="D9" s="2">
        <v>120.4673</v>
      </c>
      <c r="E9" s="11">
        <v>11103</v>
      </c>
      <c r="F9" s="11">
        <v>12735.72</v>
      </c>
      <c r="G9" s="3">
        <v>0.2053151</v>
      </c>
      <c r="H9" s="3">
        <v>0.1960737</v>
      </c>
    </row>
    <row r="10" spans="1:8" ht="12.75">
      <c r="A10" s="1">
        <v>40</v>
      </c>
      <c r="B10" s="2">
        <v>20852</v>
      </c>
      <c r="C10" s="26">
        <v>2818759</v>
      </c>
      <c r="D10" s="2">
        <v>135.1793</v>
      </c>
      <c r="E10" s="11">
        <v>14092</v>
      </c>
      <c r="F10" s="11">
        <v>15190</v>
      </c>
      <c r="G10" s="3">
        <v>0.1101417</v>
      </c>
      <c r="H10" s="3">
        <v>0.2223387</v>
      </c>
    </row>
    <row r="11" spans="1:8" ht="12.75">
      <c r="A11" s="1">
        <v>50</v>
      </c>
      <c r="B11" s="2">
        <v>21236</v>
      </c>
      <c r="C11" s="26">
        <v>2820462</v>
      </c>
      <c r="D11" s="2">
        <v>132.8151</v>
      </c>
      <c r="E11" s="11">
        <v>16286</v>
      </c>
      <c r="F11" s="11">
        <v>17434.69</v>
      </c>
      <c r="G11" s="3">
        <v>0.090515</v>
      </c>
      <c r="H11" s="3">
        <v>0.2489365</v>
      </c>
    </row>
    <row r="12" spans="1:8" ht="12.75">
      <c r="A12" s="1">
        <v>60</v>
      </c>
      <c r="B12" s="2">
        <v>22273</v>
      </c>
      <c r="C12" s="26">
        <v>2819119</v>
      </c>
      <c r="D12" s="2">
        <v>126.5712</v>
      </c>
      <c r="E12" s="11">
        <v>18641</v>
      </c>
      <c r="F12" s="11">
        <v>19974.73</v>
      </c>
      <c r="G12" s="3">
        <v>0.0647585</v>
      </c>
      <c r="H12" s="3">
        <v>0.290894</v>
      </c>
    </row>
    <row r="13" spans="1:8" ht="12.75">
      <c r="A13" s="1">
        <v>70</v>
      </c>
      <c r="B13" s="2">
        <v>26996</v>
      </c>
      <c r="C13" s="26">
        <v>2818890</v>
      </c>
      <c r="D13" s="2">
        <v>104.4188</v>
      </c>
      <c r="E13" s="11">
        <v>21435</v>
      </c>
      <c r="F13" s="11">
        <v>23342.61</v>
      </c>
      <c r="G13" s="3">
        <v>0.0603877</v>
      </c>
      <c r="H13" s="3">
        <v>0.3140826</v>
      </c>
    </row>
    <row r="14" spans="1:8" ht="12.75">
      <c r="A14" s="1">
        <v>80</v>
      </c>
      <c r="B14" s="2">
        <v>36353</v>
      </c>
      <c r="C14" s="26">
        <v>2819142</v>
      </c>
      <c r="D14" s="2">
        <v>77.5491</v>
      </c>
      <c r="E14" s="11">
        <v>25538</v>
      </c>
      <c r="F14" s="11">
        <v>28832.59</v>
      </c>
      <c r="G14" s="3">
        <v>0.0614025</v>
      </c>
      <c r="H14" s="3">
        <v>0.3369604</v>
      </c>
    </row>
    <row r="15" spans="1:8" ht="12.75">
      <c r="A15" s="1">
        <v>90</v>
      </c>
      <c r="B15" s="2">
        <v>74875</v>
      </c>
      <c r="C15" s="26">
        <v>2537382</v>
      </c>
      <c r="D15" s="2">
        <v>33.88824</v>
      </c>
      <c r="E15" s="11">
        <v>33162</v>
      </c>
      <c r="F15" s="11">
        <v>44980.92</v>
      </c>
      <c r="G15" s="3">
        <v>0.0469395</v>
      </c>
      <c r="H15" s="3">
        <v>0.2683255</v>
      </c>
    </row>
    <row r="16" spans="1:8" ht="12.75">
      <c r="A16" s="1">
        <v>99</v>
      </c>
      <c r="B16" s="2">
        <v>28696</v>
      </c>
      <c r="C16" s="26">
        <v>253797.7</v>
      </c>
      <c r="D16" s="2">
        <v>8.844357</v>
      </c>
      <c r="E16" s="11">
        <v>78439</v>
      </c>
      <c r="F16" s="11">
        <v>105787.8</v>
      </c>
      <c r="G16" s="3">
        <v>0.0397649</v>
      </c>
      <c r="H16" s="3">
        <v>0.222671</v>
      </c>
    </row>
    <row r="17" spans="1:8" ht="12.75">
      <c r="A17" s="1">
        <v>999</v>
      </c>
      <c r="B17" s="2">
        <v>21028</v>
      </c>
      <c r="C17" s="26">
        <v>28138.07</v>
      </c>
      <c r="D17" s="2">
        <v>1.338124</v>
      </c>
      <c r="E17" s="11">
        <v>187499</v>
      </c>
      <c r="F17" s="11">
        <v>342597.3</v>
      </c>
      <c r="G17" s="3">
        <v>0.0627548</v>
      </c>
      <c r="H17" s="3">
        <v>0.1863845</v>
      </c>
    </row>
    <row r="18" spans="1:8" ht="12.75">
      <c r="A18" s="1" t="s">
        <v>55</v>
      </c>
      <c r="B18" s="2">
        <f>SUM(B6:B10)</f>
        <v>152992</v>
      </c>
      <c r="C18" s="39">
        <f>SUM(C6:C10)</f>
        <v>14097359</v>
      </c>
      <c r="D18" s="35">
        <f>C18/B18</f>
        <v>92.14441931604267</v>
      </c>
      <c r="E18" s="11">
        <f>E6</f>
        <v>1</v>
      </c>
      <c r="F18" s="37">
        <f>SUMPRODUCT($C6:$C10,F6:F10)/$C18</f>
        <v>8725.161501274175</v>
      </c>
      <c r="G18" s="5">
        <f>SUMPRODUCT($C6:$C10,G6:G10)/$C18</f>
        <v>0.6019944381813642</v>
      </c>
      <c r="H18" s="5">
        <f>SUMPRODUCT($C6:$C10,H6:H10)/$C18</f>
        <v>0.21636711238144674</v>
      </c>
    </row>
    <row r="19" spans="1:8" ht="12.75">
      <c r="A19" s="1" t="s">
        <v>56</v>
      </c>
      <c r="B19" s="2">
        <f>SUM(B11:B14)</f>
        <v>106858</v>
      </c>
      <c r="C19" s="39">
        <f>SUM(C11:C14)</f>
        <v>11277613</v>
      </c>
      <c r="D19" s="35">
        <f>C19/B19</f>
        <v>105.53831252690486</v>
      </c>
      <c r="E19" s="11">
        <f>E11</f>
        <v>16286</v>
      </c>
      <c r="F19" s="37">
        <f>SUMPRODUCT($C11:$C14,F11:F14)/$C19</f>
        <v>22395.558069808743</v>
      </c>
      <c r="G19" s="5">
        <f>SUMPRODUCT($C11:$C14,G11:G14)/$C19</f>
        <v>0.06926861969811343</v>
      </c>
      <c r="H19" s="5">
        <f>SUMPRODUCT($C11:$C14,H11:H14)/$C19</f>
        <v>0.2977123135312233</v>
      </c>
    </row>
    <row r="20" spans="1:8" ht="12.75">
      <c r="A20" s="1" t="s">
        <v>57</v>
      </c>
      <c r="B20" s="2">
        <f>SUM(B15:B17)</f>
        <v>124599</v>
      </c>
      <c r="C20" s="39">
        <f>SUM(C15:C17)</f>
        <v>2819317.77</v>
      </c>
      <c r="D20" s="35">
        <f>C20/B20</f>
        <v>22.6271299930176</v>
      </c>
      <c r="E20" s="11">
        <f>E15</f>
        <v>33162</v>
      </c>
      <c r="F20" s="37">
        <f>SUMPRODUCT($C15:$C17,F15:F17)/$C20</f>
        <v>53425.160331859646</v>
      </c>
      <c r="G20" s="5">
        <f>SUMPRODUCT($C15:$C17,G15:G17)/$C20</f>
        <v>0.04645147946730602</v>
      </c>
      <c r="H20" s="5">
        <f>SUMPRODUCT($C15:$C17,H15:H17)/$C20</f>
        <v>0.26339782961237995</v>
      </c>
    </row>
    <row r="21" spans="1:8" ht="12.75">
      <c r="A21" s="1" t="s">
        <v>58</v>
      </c>
      <c r="B21" s="2">
        <f>B16+B17</f>
        <v>49724</v>
      </c>
      <c r="C21" s="39">
        <f>C16+C17</f>
        <v>281935.77</v>
      </c>
      <c r="D21" s="35">
        <f>C21/B21</f>
        <v>5.6700138765988255</v>
      </c>
      <c r="E21" s="11">
        <f>E16</f>
        <v>78439</v>
      </c>
      <c r="F21" s="37">
        <f>SUMPRODUCT($C16:$C17,F16:F17)/$C21</f>
        <v>129422.1273777038</v>
      </c>
      <c r="G21" s="5">
        <f>SUMPRODUCT($C16:$C17,G16:G17)/$C21</f>
        <v>0.04205936379043354</v>
      </c>
      <c r="H21" s="5">
        <f>SUMPRODUCT($C16:$C17,H16:H17)/$C21</f>
        <v>0.21904949401991455</v>
      </c>
    </row>
    <row r="22" spans="1:8" ht="30" customHeight="1">
      <c r="A22" s="16" t="s">
        <v>42</v>
      </c>
      <c r="B22" s="17">
        <f>SUM(B6:B17)</f>
        <v>384449</v>
      </c>
      <c r="C22" s="27">
        <f>SUM(C6:C17)</f>
        <v>28194289.77</v>
      </c>
      <c r="D22" s="17">
        <f>C22/B22</f>
        <v>73.33687893582764</v>
      </c>
      <c r="E22" s="14"/>
      <c r="F22" s="38">
        <f>SUMPRODUCT($C6:$C17,F6:F17)/$C22</f>
        <v>18663.093804738248</v>
      </c>
      <c r="G22" s="28">
        <f>SUMPRODUCT($C6:$C17,G6:G17)/$C22</f>
        <v>0.3333539505772932</v>
      </c>
      <c r="H22" s="28">
        <f>SUMPRODUCT($C6:$C17,H6:H17)/$C22</f>
        <v>0.25360778215411006</v>
      </c>
    </row>
    <row r="23" spans="1:8" ht="15" customHeight="1">
      <c r="A23" s="16"/>
      <c r="B23" s="33" t="s">
        <v>54</v>
      </c>
      <c r="C23" t="s">
        <v>70</v>
      </c>
      <c r="F23" s="15"/>
      <c r="G23" s="15"/>
      <c r="H23" s="15"/>
    </row>
    <row r="24" spans="1:3" ht="12.75">
      <c r="A24" s="6" t="s">
        <v>77</v>
      </c>
      <c r="B24" s="6" t="s">
        <v>14</v>
      </c>
      <c r="C24" s="6" t="s">
        <v>14</v>
      </c>
    </row>
    <row r="25" spans="1:8" ht="12.75">
      <c r="A25" s="1">
        <v>0</v>
      </c>
      <c r="B25" s="34">
        <f aca="true" t="shared" si="0" ref="B25:B41">$C6*F6/1000000000</f>
        <v>3.8412262281209997</v>
      </c>
      <c r="C25" s="3">
        <f aca="true" t="shared" si="1" ref="C25:C41">B25/B$41</f>
        <v>0.007300037443607499</v>
      </c>
      <c r="F25" s="52"/>
      <c r="G25" s="52"/>
      <c r="H25" s="52"/>
    </row>
    <row r="26" spans="1:3" ht="12.75">
      <c r="A26" s="1">
        <v>10</v>
      </c>
      <c r="B26" s="34">
        <f t="shared" si="0"/>
        <v>14.645647995375999</v>
      </c>
      <c r="C26" s="3">
        <f t="shared" si="1"/>
        <v>0.027833241887562185</v>
      </c>
    </row>
    <row r="27" spans="1:3" ht="12.75">
      <c r="A27" s="1">
        <v>20</v>
      </c>
      <c r="B27" s="34">
        <f t="shared" si="0"/>
        <v>25.790617843424</v>
      </c>
      <c r="C27" s="3">
        <f t="shared" si="1"/>
        <v>0.04901363907505743</v>
      </c>
    </row>
    <row r="28" spans="1:3" ht="12.75">
      <c r="A28" s="1">
        <v>30</v>
      </c>
      <c r="B28" s="34">
        <f t="shared" si="0"/>
        <v>35.907292739519995</v>
      </c>
      <c r="C28" s="3">
        <f t="shared" si="1"/>
        <v>0.06823981872718138</v>
      </c>
    </row>
    <row r="29" spans="1:3" ht="12.75">
      <c r="A29" s="1">
        <v>40</v>
      </c>
      <c r="B29" s="34">
        <f t="shared" si="0"/>
        <v>42.81694921</v>
      </c>
      <c r="C29" s="3">
        <f t="shared" si="1"/>
        <v>0.08137123769638975</v>
      </c>
    </row>
    <row r="30" spans="1:3" ht="12.75">
      <c r="A30" s="1">
        <v>50</v>
      </c>
      <c r="B30" s="34">
        <f t="shared" si="0"/>
        <v>49.17388062678</v>
      </c>
      <c r="C30" s="3">
        <f t="shared" si="1"/>
        <v>0.09345223335064443</v>
      </c>
    </row>
    <row r="31" spans="1:3" ht="12.75">
      <c r="A31" s="1">
        <v>60</v>
      </c>
      <c r="B31" s="34">
        <f t="shared" si="0"/>
        <v>56.31114086287</v>
      </c>
      <c r="C31" s="3">
        <f t="shared" si="1"/>
        <v>0.10701620065535447</v>
      </c>
    </row>
    <row r="32" spans="1:3" ht="12.75">
      <c r="A32" s="1">
        <v>70</v>
      </c>
      <c r="B32" s="34">
        <f t="shared" si="0"/>
        <v>65.8002499029</v>
      </c>
      <c r="C32" s="3">
        <f t="shared" si="1"/>
        <v>0.1250497261976859</v>
      </c>
    </row>
    <row r="33" spans="1:3" ht="12.75">
      <c r="A33" s="1">
        <v>80</v>
      </c>
      <c r="B33" s="34">
        <f t="shared" si="0"/>
        <v>81.28316543778</v>
      </c>
      <c r="C33" s="3">
        <f t="shared" si="1"/>
        <v>0.1544741486160772</v>
      </c>
    </row>
    <row r="34" spans="1:3" ht="12.75">
      <c r="A34" s="1">
        <v>90</v>
      </c>
      <c r="B34" s="34">
        <f t="shared" si="0"/>
        <v>114.13377675144</v>
      </c>
      <c r="C34" s="3">
        <f t="shared" si="1"/>
        <v>0.21690491379192095</v>
      </c>
    </row>
    <row r="35" spans="1:3" ht="12.75">
      <c r="A35" s="1">
        <v>99</v>
      </c>
      <c r="B35" s="34">
        <f t="shared" si="0"/>
        <v>26.84870032806</v>
      </c>
      <c r="C35" s="3">
        <f t="shared" si="1"/>
        <v>0.05102446616452214</v>
      </c>
    </row>
    <row r="36" spans="1:3" ht="12.75">
      <c r="A36" s="1">
        <v>999</v>
      </c>
      <c r="B36" s="34">
        <f t="shared" si="0"/>
        <v>9.640026809211001</v>
      </c>
      <c r="C36" s="3">
        <f t="shared" si="1"/>
        <v>0.01832033639399686</v>
      </c>
    </row>
    <row r="37" spans="1:3" ht="12.75">
      <c r="A37" s="1" t="s">
        <v>55</v>
      </c>
      <c r="B37" s="36">
        <f t="shared" si="0"/>
        <v>123.00173401644099</v>
      </c>
      <c r="C37" s="5">
        <f t="shared" si="1"/>
        <v>0.23375797482979824</v>
      </c>
    </row>
    <row r="38" spans="1:3" ht="12.75">
      <c r="A38" s="1" t="s">
        <v>56</v>
      </c>
      <c r="B38" s="36">
        <f t="shared" si="0"/>
        <v>252.56843683033</v>
      </c>
      <c r="C38" s="5">
        <f t="shared" si="1"/>
        <v>0.479992308819762</v>
      </c>
    </row>
    <row r="39" spans="1:3" ht="12.75">
      <c r="A39" s="1" t="s">
        <v>57</v>
      </c>
      <c r="B39" s="36">
        <f t="shared" si="0"/>
        <v>150.622503888711</v>
      </c>
      <c r="C39" s="5">
        <f t="shared" si="1"/>
        <v>0.28624971635043994</v>
      </c>
    </row>
    <row r="40" spans="1:3" ht="12.75">
      <c r="A40" s="1" t="s">
        <v>58</v>
      </c>
      <c r="B40" s="36">
        <f t="shared" si="0"/>
        <v>36.488727137271006</v>
      </c>
      <c r="C40" s="5">
        <f t="shared" si="1"/>
        <v>0.069344802558519</v>
      </c>
    </row>
    <row r="41" spans="1:3" ht="12.75">
      <c r="A41" s="16" t="s">
        <v>42</v>
      </c>
      <c r="B41" s="36">
        <f t="shared" si="0"/>
        <v>526.1926747354819</v>
      </c>
      <c r="C41" s="28">
        <f t="shared" si="1"/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dcterms:created xsi:type="dcterms:W3CDTF">2010-06-14T15:55:49Z</dcterms:created>
  <dcterms:modified xsi:type="dcterms:W3CDTF">2011-01-10T08:58:17Z</dcterms:modified>
  <cp:category/>
  <cp:version/>
  <cp:contentType/>
  <cp:contentStatus/>
</cp:coreProperties>
</file>